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ornb\.claude\FIATISFAKE.ORG\products\command-center\"/>
    </mc:Choice>
  </mc:AlternateContent>
  <xr:revisionPtr revIDLastSave="0" documentId="13_ncr:1_{640165DA-3BC9-4334-AF2D-81FA1168565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ADME" sheetId="1" r:id="rId1"/>
    <sheet name="Dashboard" sheetId="2" r:id="rId2"/>
    <sheet name="Budget &amp; Cash Flow" sheetId="3" r:id="rId3"/>
    <sheet name="Assumptions" sheetId="4" r:id="rId4"/>
    <sheet name="Net Worth Tracker" sheetId="5" r:id="rId5"/>
    <sheet name="FIRE &amp; Retirement" sheetId="6" r:id="rId6"/>
    <sheet name="Retirement Drawdown" sheetId="7" r:id="rId7"/>
    <sheet name="Tax Center" sheetId="8" r:id="rId8"/>
    <sheet name="Debt Center" sheetId="9" r:id="rId9"/>
    <sheet name="Credit Cards" sheetId="10" r:id="rId10"/>
    <sheet name="Housing" sheetId="11" r:id="rId11"/>
    <sheet name="Investing" sheetId="12" r:id="rId12"/>
    <sheet name="Bitcoin" sheetId="13" r:id="rId13"/>
    <sheet name="Career &amp; Decisions" sheetId="14" r:id="rId14"/>
    <sheet name="Family &amp; Life" sheetId="15" r:id="rId15"/>
    <sheet name="Macro &amp; Inflation" sheetId="16" r:id="rId16"/>
    <sheet name="Scenario Comparison" sheetId="17" r:id="rId17"/>
    <sheet name="Projections" sheetId="18" r:id="rId18"/>
    <sheet name="Site Tool Library" sheetId="19" r:id="rId19"/>
    <sheet name="Site Data" sheetId="20" r:id="rId20"/>
    <sheet name="Checks" sheetId="21" r:id="rId21"/>
  </sheets>
  <definedNames>
    <definedName name="AllocBonds">Assumptions!$B$19</definedName>
    <definedName name="AllocBTC">Assumptions!$B$21</definedName>
    <definedName name="AllocCash">Assumptions!$B$20</definedName>
    <definedName name="AllocStocks">Assumptions!$B$18</definedName>
    <definedName name="AllocTotal">Assumptions!$B$22</definedName>
    <definedName name="AllPass">Checks!$H$2</definedName>
    <definedName name="AnnualBTCDCA">'Budget &amp; Cash Flow'!$B$32</definedName>
    <definedName name="AnnualContrib">'Budget &amp; Cash Flow'!$B$30</definedName>
    <definedName name="AnnualPortfolioContrib">'Budget &amp; Cash Flow'!$B$31</definedName>
    <definedName name="AnnualSurplus">'Budget &amp; Cash Flow'!$B$29</definedName>
    <definedName name="AppreciationPct">Housing!$E$7</definedName>
    <definedName name="AssumpNetWorth">Assumptions!$B$48</definedName>
    <definedName name="BaseYear">Assumptions!$B$13</definedName>
    <definedName name="BlendA">Assumptions!$H$33</definedName>
    <definedName name="BlendB">Assumptions!$H$32</definedName>
    <definedName name="BlendC">Assumptions!$H$31</definedName>
    <definedName name="BridgeNeed">'FIRE &amp; Retirement'!$B$9</definedName>
    <definedName name="BridgeYears">'FIRE &amp; Retirement'!$B$8</definedName>
    <definedName name="BTCfA">Assumptions!$G$33</definedName>
    <definedName name="BTCfB">Assumptions!$G$32</definedName>
    <definedName name="BTCfC">Assumptions!$G$31</definedName>
    <definedName name="BTCGlideYears">Assumptions!$B$26</definedName>
    <definedName name="BTCiA">Assumptions!$F$33</definedName>
    <definedName name="BTCiB">Assumptions!$F$32</definedName>
    <definedName name="BTCiC">Assumptions!$F$31</definedName>
    <definedName name="BTCPriceSeed">'Site Data'!$B$5</definedName>
    <definedName name="BTCStack">Assumptions!$B$25</definedName>
    <definedName name="BTCStress">Dashboard!$B$7</definedName>
    <definedName name="BTCTermA">Projections!$L$64</definedName>
    <definedName name="BTCTermB">Projections!$K$64</definedName>
    <definedName name="BTCTermC">Projections!$J$64</definedName>
    <definedName name="CashOnHand">Assumptions!$B$14</definedName>
    <definedName name="CCAPR">'Credit Cards'!$B$5</definedName>
    <definedName name="CCBal">'Credit Cards'!$B$4</definedName>
    <definedName name="CCLimit">'Credit Cards'!$B$6</definedName>
    <definedName name="CCMinPct">'Credit Cards'!$B$8</definedName>
    <definedName name="CCPmt">'Credit Cards'!$B$7</definedName>
    <definedName name="ChkResults">Checks!$F$5:$F$27</definedName>
    <definedName name="ClosingPct">Housing!$B$6</definedName>
    <definedName name="CollegeReturn">'Family &amp; Life'!$B$25</definedName>
    <definedName name="CollegeTarget">'Family &amp; Life'!$B$23</definedName>
    <definedName name="CollegeYears">'Family &amp; Life'!$B$24</definedName>
    <definedName name="CPIYoYSeed">'Site Data'!$B$8</definedName>
    <definedName name="CurrentAge">Assumptions!$B$4</definedName>
    <definedName name="DashNetWorth">Dashboard!$B$10</definedName>
    <definedName name="DashSats">Dashboard!$B$21</definedName>
    <definedName name="DashSavingsRate">Dashboard!$B$11</definedName>
    <definedName name="DataAsOf">'Site Data'!$B$12</definedName>
    <definedName name="DDGainPct">'Retirement Drawdown'!$B$7</definedName>
    <definedName name="DDOtherOrd">'Retirement Drawdown'!$B$8</definedName>
    <definedName name="DDRoth">'Retirement Drawdown'!$B$5</definedName>
    <definedName name="DDTaxable">'Retirement Drawdown'!$B$6</definedName>
    <definedName name="DDTest100k">'Retirement Drawdown'!$B$31</definedName>
    <definedName name="DDTrad">'Retirement Drawdown'!$B$4</definedName>
    <definedName name="DebtFreeMonths">'Debt Center'!$B$13</definedName>
    <definedName name="DebtMinPayments">'Debt Center'!$D$11</definedName>
    <definedName name="DGS10Seed">'Site Data'!$B$7</definedName>
    <definedName name="DIMEEdu">'Family &amp; Life'!$B$13</definedName>
    <definedName name="DIMEKids">'Family &amp; Life'!$B$14</definedName>
    <definedName name="DIMEMort">'Family &amp; Life'!$B$12</definedName>
    <definedName name="DIMEYears">'Family &amp; Life'!$B$11</definedName>
    <definedName name="DownPct">Housing!$B$5</definedName>
    <definedName name="EFMonths">'Family &amp; Life'!$B$4</definedName>
    <definedName name="FeeER">Investing!$B$21</definedName>
    <definedName name="FeeGross">Investing!$B$20</definedName>
    <definedName name="FeePrincipal">Investing!$B$18</definedName>
    <definedName name="FeeYears">Investing!$B$19</definedName>
    <definedName name="FilingStatus">Assumptions!$B$9</definedName>
    <definedName name="FINumber">'FIRE &amp; Retirement'!$B$5</definedName>
    <definedName name="GrossIncome">'Tax Center'!$B$4</definedName>
    <definedName name="HDown">Housing!$E$9</definedName>
    <definedName name="HeadlinePortfolio">Dashboard!$B$17</definedName>
    <definedName name="HInitialOutlay">Housing!$E$12</definedName>
    <definedName name="HInvReturn">Housing!$E$8</definedName>
    <definedName name="HLoan">Housing!$E$10</definedName>
    <definedName name="HomePrice">Housing!$B$4</definedName>
    <definedName name="HousingBreakEven">Housing!$B$45</definedName>
    <definedName name="HousingRate">Housing!$B$7</definedName>
    <definedName name="HousingTerm">Housing!$B$8</definedName>
    <definedName name="HousingTestBE">Housing!$B$55</definedName>
    <definedName name="HPmt">Housing!$E$11</definedName>
    <definedName name="IncludeBTC">Dashboard!$B$6</definedName>
    <definedName name="InflA">Assumptions!$E$33</definedName>
    <definedName name="InflB">Assumptions!$E$32</definedName>
    <definedName name="InflC">Assumptions!$E$31</definedName>
    <definedName name="InsPct">Housing!$E$6</definedName>
    <definedName name="KidAnnual">'Family &amp; Life'!$B$18</definedName>
    <definedName name="KidYears">'Family &amp; Life'!$B$19</definedName>
    <definedName name="LTCG0Active">'Tax Center'!$B$37</definedName>
    <definedName name="LTCG0TopSingle">'Tax Center'!$B$21</definedName>
    <definedName name="LTCG15Active">'Tax Center'!$B$38</definedName>
    <definedName name="LTCG15TopSingle">'Tax Center'!$B$22</definedName>
    <definedName name="LTCGRate15">'Tax Center'!$B$25</definedName>
    <definedName name="LTCGRate20">'Tax Center'!$C$25</definedName>
    <definedName name="LTCGRealized">'Tax Center'!$B$7</definedName>
    <definedName name="M2LevelSeed">'Site Data'!$B$10</definedName>
    <definedName name="M2YoYSeed">'Site Data'!$B$9</definedName>
    <definedName name="MaintPct">Housing!$E$5</definedName>
    <definedName name="MonthlyContrib">'Budget &amp; Cash Flow'!$B$26</definedName>
    <definedName name="MonthlyExpenses">'Budget &amp; Cash Flow'!$B$23</definedName>
    <definedName name="MonthlyIncome">'Budget &amp; Cash Flow'!$B$8</definedName>
    <definedName name="MonthlySurplus">'Budget &amp; Cash Flow'!$B$27</definedName>
    <definedName name="Mort30Seed">'Site Data'!$B$6</definedName>
    <definedName name="NetWorthLatest">'Net Worth Tracker'!$L$5</definedName>
    <definedName name="NIITRate">'Tax Center'!$B$24</definedName>
    <definedName name="NIITThreshActive">'Tax Center'!$B$39</definedName>
    <definedName name="NoBTCSelTarget">Projections!$F$2</definedName>
    <definedName name="OrdTaxable">'Tax Center'!$B$42</definedName>
    <definedName name="OtherNII">'Tax Center'!$B$8</definedName>
    <definedName name="OtherPreTax">'Tax Center'!$B$6</definedName>
    <definedName name="PensionAnnual">Assumptions!$B$8</definedName>
    <definedName name="PersonalInfl">'Macro &amp; Inflation'!$B$11</definedName>
    <definedName name="PreTax401k">'Tax Center'!$B$5</definedName>
    <definedName name="_xlnm.Print_Titles" localSheetId="20">Checks!$4:$4</definedName>
    <definedName name="_xlnm.Print_Titles" localSheetId="8">'Debt Center'!$4:$4</definedName>
    <definedName name="_xlnm.Print_Titles" localSheetId="10">Housing!$13:$13</definedName>
    <definedName name="_xlnm.Print_Titles" localSheetId="4">'Net Worth Tracker'!$4:$4</definedName>
    <definedName name="_xlnm.Print_Titles" localSheetId="17">Projections!$3:$3</definedName>
    <definedName name="_xlnm.Print_Titles" localSheetId="16">'Scenario Comparison'!$4:$4</definedName>
    <definedName name="_xlnm.Print_Titles" localSheetId="18">'Site Tool Library'!$4:$4</definedName>
    <definedName name="ProjAges">Projections!$C$4:$C$64</definedName>
    <definedName name="ProjFIFlagNo">Projections!$AE$4:$AE$64</definedName>
    <definedName name="ProjFIFlagWith">Projections!$AD$4:$AD$64</definedName>
    <definedName name="PropTaxPct">Housing!$E$4</definedName>
    <definedName name="RaiseAmt">'Career &amp; Decisions'!$B$15</definedName>
    <definedName name="RaiseReturn">'Career &amp; Decisions'!$B$17</definedName>
    <definedName name="RaiseYears">'Career &amp; Decisions'!$B$16</definedName>
    <definedName name="RebalBand">Investing!$B$16</definedName>
    <definedName name="RentGrowth">Housing!$B$10</definedName>
    <definedName name="RentMonthly">Housing!$B$9</definedName>
    <definedName name="RetAnnualSpend">'FIRE &amp; Retirement'!$B$4</definedName>
    <definedName name="RetPortfolioNeed">'FIRE &amp; Retirement'!$B$7</definedName>
    <definedName name="RetSpendPct">Assumptions!$B$12</definedName>
    <definedName name="SalaryHorizonYears">'Macro &amp; Inflation'!$B$21</definedName>
    <definedName name="SavingsRate">'Budget &amp; Cash Flow'!$B$28</definedName>
    <definedName name="ScenarioSelected">Dashboard!$B$5</definedName>
    <definedName name="ScenIndex">Assumptions!$B$43</definedName>
    <definedName name="ScenNames">Assumptions!$A$31:$A$33</definedName>
    <definedName name="SelBlend">Assumptions!$B$46</definedName>
    <definedName name="SelInfl">Assumptions!$B$45</definedName>
    <definedName name="ShockFactor">Assumptions!$B$41</definedName>
    <definedName name="SSAnnualBenefit">Assumptions!$B$7</definedName>
    <definedName name="SSStartAge">Assumptions!$B$6</definedName>
    <definedName name="StartPortfolio">Assumptions!$B$15</definedName>
    <definedName name="StateRate">Assumptions!$B$10</definedName>
    <definedName name="StdDedActive">'Tax Center'!$B$36</definedName>
    <definedName name="StdDedSingle">'Tax Center'!$B$13</definedName>
    <definedName name="StressIndex">Assumptions!$B$44</definedName>
    <definedName name="StressNames">Assumptions!$A$37:$A$40</definedName>
    <definedName name="SWR">Assumptions!$B$11</definedName>
    <definedName name="TargetAge">Assumptions!$B$5</definedName>
    <definedName name="TargetRowIdx">Projections!$B$2</definedName>
    <definedName name="TaxableGains">'Tax Center'!$B$44</definedName>
    <definedName name="TaxLowerActive">'Tax Center'!$E$28:$E$34</definedName>
    <definedName name="TaxRateDiff">'Tax Center'!$F$28:$F$34</definedName>
    <definedName name="TaxRates">'Tax Center'!$D$14:$D$20</definedName>
    <definedName name="TaxTest100k">'Tax Center'!$B$54</definedName>
    <definedName name="TotalDebtBalance">'Debt Center'!$B$11</definedName>
    <definedName name="TotalTaxable">'Tax Center'!$B$43</definedName>
    <definedName name="WithBTCSelTarget">Projections!$D$2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1" l="1"/>
  <c r="E27" i="21"/>
  <c r="F27" i="21" s="1"/>
  <c r="E25" i="21"/>
  <c r="F25" i="21" s="1"/>
  <c r="E12" i="21"/>
  <c r="F12" i="21" s="1"/>
  <c r="E11" i="21"/>
  <c r="F11" i="21" s="1"/>
  <c r="D10" i="21"/>
  <c r="E9" i="21"/>
  <c r="F9" i="21" s="1"/>
  <c r="E8" i="21"/>
  <c r="D8" i="21"/>
  <c r="E7" i="21"/>
  <c r="D7" i="21"/>
  <c r="E6" i="21"/>
  <c r="D6" i="21"/>
  <c r="E5" i="21"/>
  <c r="F5" i="21" s="1"/>
  <c r="I2" i="21"/>
  <c r="F2" i="20"/>
  <c r="D2" i="19"/>
  <c r="A5" i="18"/>
  <c r="B5" i="18" s="1"/>
  <c r="AA4" i="18"/>
  <c r="Z4" i="18"/>
  <c r="Y4" i="18"/>
  <c r="L4" i="18"/>
  <c r="K4" i="18"/>
  <c r="J4" i="18"/>
  <c r="I4" i="18"/>
  <c r="H4" i="18"/>
  <c r="G4" i="18"/>
  <c r="F4" i="18"/>
  <c r="E4" i="18"/>
  <c r="D4" i="18"/>
  <c r="C4" i="18"/>
  <c r="B4" i="18"/>
  <c r="N2" i="18"/>
  <c r="C7" i="17"/>
  <c r="C6" i="17"/>
  <c r="C5" i="17"/>
  <c r="B5" i="17"/>
  <c r="J2" i="17"/>
  <c r="B23" i="16"/>
  <c r="B22" i="16"/>
  <c r="C20" i="16"/>
  <c r="B20" i="16"/>
  <c r="C19" i="16"/>
  <c r="B19" i="16"/>
  <c r="C18" i="16"/>
  <c r="B18" i="16"/>
  <c r="C17" i="16"/>
  <c r="B17" i="16"/>
  <c r="C16" i="16"/>
  <c r="B16" i="16"/>
  <c r="C15" i="16"/>
  <c r="B15" i="16"/>
  <c r="B9" i="16"/>
  <c r="B8" i="16"/>
  <c r="B7" i="16"/>
  <c r="B6" i="16"/>
  <c r="B5" i="16"/>
  <c r="B4" i="16"/>
  <c r="E2" i="16"/>
  <c r="B26" i="15"/>
  <c r="D2" i="15"/>
  <c r="B18" i="14"/>
  <c r="C9" i="14"/>
  <c r="C10" i="14" s="1"/>
  <c r="B9" i="14"/>
  <c r="B10" i="14" s="1"/>
  <c r="A12" i="14" s="1"/>
  <c r="E2" i="14"/>
  <c r="B17" i="13"/>
  <c r="B6" i="13"/>
  <c r="B5" i="13"/>
  <c r="B4" i="13"/>
  <c r="D2" i="13"/>
  <c r="B23" i="12"/>
  <c r="B22" i="12"/>
  <c r="C15" i="12"/>
  <c r="D15" i="12" s="1"/>
  <c r="E15" i="12" s="1"/>
  <c r="C14" i="12"/>
  <c r="D14" i="12" s="1"/>
  <c r="E14" i="12" s="1"/>
  <c r="C13" i="12"/>
  <c r="D13" i="12" s="1"/>
  <c r="E13" i="12" s="1"/>
  <c r="C12" i="12"/>
  <c r="D12" i="12" s="1"/>
  <c r="E12" i="12" s="1"/>
  <c r="B7" i="12"/>
  <c r="B6" i="12"/>
  <c r="B5" i="12"/>
  <c r="B4" i="12"/>
  <c r="G2" i="12"/>
  <c r="E53" i="11"/>
  <c r="D53" i="11"/>
  <c r="E52" i="11"/>
  <c r="D52" i="11"/>
  <c r="F52" i="11" s="1"/>
  <c r="E51" i="11"/>
  <c r="D51" i="11"/>
  <c r="F51" i="11" s="1"/>
  <c r="E50" i="11"/>
  <c r="D50" i="11"/>
  <c r="F50" i="11" s="1"/>
  <c r="E49" i="11"/>
  <c r="D49" i="11"/>
  <c r="F49" i="11" s="1"/>
  <c r="K43" i="11"/>
  <c r="F43" i="11"/>
  <c r="K42" i="11"/>
  <c r="F42" i="11"/>
  <c r="K41" i="11"/>
  <c r="F41" i="11"/>
  <c r="K40" i="11"/>
  <c r="F40" i="11"/>
  <c r="K39" i="11"/>
  <c r="F39" i="11"/>
  <c r="K38" i="11"/>
  <c r="F38" i="11"/>
  <c r="K37" i="11"/>
  <c r="F37" i="11"/>
  <c r="K36" i="11"/>
  <c r="F36" i="11"/>
  <c r="K35" i="11"/>
  <c r="F35" i="11"/>
  <c r="K34" i="11"/>
  <c r="F34" i="11"/>
  <c r="G34" i="11" s="1"/>
  <c r="K33" i="11"/>
  <c r="F33" i="11"/>
  <c r="K32" i="11"/>
  <c r="F32" i="11"/>
  <c r="K31" i="11"/>
  <c r="F31" i="11"/>
  <c r="K30" i="11"/>
  <c r="F30" i="11"/>
  <c r="K29" i="11"/>
  <c r="F29" i="11"/>
  <c r="K28" i="11"/>
  <c r="F28" i="11"/>
  <c r="G29" i="11" s="1"/>
  <c r="K27" i="11"/>
  <c r="F27" i="11"/>
  <c r="K26" i="11"/>
  <c r="F26" i="11"/>
  <c r="K25" i="11"/>
  <c r="F25" i="11"/>
  <c r="K24" i="11"/>
  <c r="F24" i="11"/>
  <c r="K23" i="11"/>
  <c r="F23" i="11"/>
  <c r="G24" i="11" s="1"/>
  <c r="K22" i="11"/>
  <c r="F22" i="11"/>
  <c r="K21" i="11"/>
  <c r="F21" i="11"/>
  <c r="K20" i="11"/>
  <c r="F20" i="11"/>
  <c r="G20" i="11" s="1"/>
  <c r="K19" i="11"/>
  <c r="F19" i="11"/>
  <c r="K18" i="11"/>
  <c r="F18" i="11"/>
  <c r="K17" i="11"/>
  <c r="F17" i="11"/>
  <c r="K16" i="11"/>
  <c r="F16" i="11"/>
  <c r="K15" i="11"/>
  <c r="F15" i="11"/>
  <c r="K14" i="11"/>
  <c r="F14" i="11"/>
  <c r="G14" i="11" s="1"/>
  <c r="E9" i="11"/>
  <c r="E10" i="11" s="1"/>
  <c r="N2" i="11"/>
  <c r="B14" i="10"/>
  <c r="B15" i="10" s="1"/>
  <c r="B13" i="10"/>
  <c r="B11" i="10"/>
  <c r="B12" i="10" s="1"/>
  <c r="C10" i="10"/>
  <c r="B10" i="10"/>
  <c r="E2" i="10"/>
  <c r="M30" i="9"/>
  <c r="M28" i="9"/>
  <c r="M26" i="9"/>
  <c r="B18" i="9"/>
  <c r="D11" i="9"/>
  <c r="B22" i="3" s="1"/>
  <c r="B23" i="3" s="1"/>
  <c r="B4" i="6" s="1"/>
  <c r="B11" i="9"/>
  <c r="B15" i="15" s="1"/>
  <c r="H9" i="9"/>
  <c r="F9" i="9"/>
  <c r="J9" i="9" s="1"/>
  <c r="E9" i="9"/>
  <c r="H8" i="9"/>
  <c r="F8" i="9"/>
  <c r="G8" i="9" s="1"/>
  <c r="E8" i="9"/>
  <c r="H7" i="9"/>
  <c r="F7" i="9"/>
  <c r="J7" i="9" s="1"/>
  <c r="E7" i="9"/>
  <c r="H6" i="9"/>
  <c r="E6" i="9"/>
  <c r="F6" i="9" s="1"/>
  <c r="G6" i="9" s="1"/>
  <c r="H5" i="9"/>
  <c r="E5" i="9"/>
  <c r="F5" i="9" s="1"/>
  <c r="J5" i="9" s="1"/>
  <c r="H2" i="9"/>
  <c r="B39" i="8"/>
  <c r="B48" i="8" s="1"/>
  <c r="B38" i="8"/>
  <c r="B37" i="8"/>
  <c r="B36" i="8"/>
  <c r="B42" i="8" s="1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C9" i="8"/>
  <c r="B9" i="8"/>
  <c r="H2" i="8"/>
  <c r="B13" i="7"/>
  <c r="B12" i="7"/>
  <c r="B14" i="7" s="1"/>
  <c r="B11" i="7"/>
  <c r="D2" i="7"/>
  <c r="B12" i="6"/>
  <c r="B8" i="6"/>
  <c r="B6" i="6"/>
  <c r="E2" i="6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K2" i="5"/>
  <c r="B44" i="4"/>
  <c r="R4" i="18" s="1"/>
  <c r="B43" i="4"/>
  <c r="H33" i="4"/>
  <c r="B7" i="17" s="1"/>
  <c r="H32" i="4"/>
  <c r="B6" i="17" s="1"/>
  <c r="H31" i="4"/>
  <c r="B27" i="4"/>
  <c r="B22" i="4"/>
  <c r="B8" i="12" s="1"/>
  <c r="H2" i="4"/>
  <c r="B30" i="3"/>
  <c r="B32" i="3" s="1"/>
  <c r="B8" i="3"/>
  <c r="F2" i="3"/>
  <c r="E41" i="2"/>
  <c r="C41" i="2"/>
  <c r="A41" i="2"/>
  <c r="E40" i="2"/>
  <c r="C40" i="2"/>
  <c r="A40" i="2"/>
  <c r="E39" i="2"/>
  <c r="C39" i="2"/>
  <c r="A39" i="2"/>
  <c r="E38" i="2"/>
  <c r="C38" i="2"/>
  <c r="A38" i="2"/>
  <c r="E37" i="2"/>
  <c r="C37" i="2"/>
  <c r="A37" i="2"/>
  <c r="E36" i="2"/>
  <c r="C36" i="2"/>
  <c r="A36" i="2"/>
  <c r="B33" i="2"/>
  <c r="C33" i="2" s="1"/>
  <c r="B22" i="2"/>
  <c r="B21" i="2"/>
  <c r="E10" i="21" s="1"/>
  <c r="B20" i="2"/>
  <c r="B2" i="2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3" i="1"/>
  <c r="A12" i="1"/>
  <c r="A7" i="1"/>
  <c r="A6" i="1"/>
  <c r="A5" i="1"/>
  <c r="M34" i="9" l="1"/>
  <c r="M35" i="9"/>
  <c r="G38" i="11"/>
  <c r="B54" i="8"/>
  <c r="D23" i="21" s="1"/>
  <c r="G26" i="11"/>
  <c r="G42" i="11"/>
  <c r="F7" i="21"/>
  <c r="G43" i="11"/>
  <c r="G35" i="11"/>
  <c r="G27" i="11"/>
  <c r="G33" i="11"/>
  <c r="G30" i="11"/>
  <c r="C22" i="4"/>
  <c r="F10" i="21"/>
  <c r="B7" i="13"/>
  <c r="B8" i="13"/>
  <c r="H5" i="18"/>
  <c r="J6" i="9"/>
  <c r="G22" i="11"/>
  <c r="B10" i="15"/>
  <c r="I5" i="18"/>
  <c r="B31" i="3"/>
  <c r="E5" i="18" s="1"/>
  <c r="E6" i="18" s="1"/>
  <c r="E7" i="18" s="1"/>
  <c r="G15" i="11"/>
  <c r="M16" i="11"/>
  <c r="C5" i="18"/>
  <c r="F53" i="11"/>
  <c r="B55" i="11" s="1"/>
  <c r="E21" i="21" s="1"/>
  <c r="F21" i="21" s="1"/>
  <c r="G40" i="11"/>
  <c r="G17" i="11"/>
  <c r="J8" i="9"/>
  <c r="G18" i="11"/>
  <c r="G31" i="11"/>
  <c r="Q4" i="18"/>
  <c r="G5" i="18"/>
  <c r="J5" i="18" s="1"/>
  <c r="M5" i="18" s="1"/>
  <c r="F6" i="21"/>
  <c r="G7" i="9"/>
  <c r="G41" i="11"/>
  <c r="B46" i="4"/>
  <c r="B24" i="12"/>
  <c r="M4" i="18"/>
  <c r="P4" i="18"/>
  <c r="S4" i="18" s="1"/>
  <c r="V4" i="18" s="1"/>
  <c r="M34" i="11"/>
  <c r="B25" i="7"/>
  <c r="B7" i="6"/>
  <c r="E20" i="21" s="1"/>
  <c r="B5" i="6"/>
  <c r="AK4" i="18" s="1"/>
  <c r="M33" i="11"/>
  <c r="M41" i="11"/>
  <c r="M22" i="11"/>
  <c r="M17" i="11"/>
  <c r="M19" i="11"/>
  <c r="M39" i="11"/>
  <c r="M43" i="11"/>
  <c r="M37" i="11"/>
  <c r="M30" i="11"/>
  <c r="M20" i="11"/>
  <c r="M15" i="11"/>
  <c r="B46" i="8"/>
  <c r="B45" i="8"/>
  <c r="B28" i="2"/>
  <c r="C28" i="2" s="1"/>
  <c r="B9" i="13"/>
  <c r="B7" i="15"/>
  <c r="B6" i="15"/>
  <c r="B13" i="2"/>
  <c r="B5" i="15"/>
  <c r="B27" i="3"/>
  <c r="B19" i="7"/>
  <c r="B15" i="7"/>
  <c r="B9" i="6"/>
  <c r="B17" i="7"/>
  <c r="B28" i="3"/>
  <c r="L5" i="5"/>
  <c r="B43" i="8"/>
  <c r="G16" i="11"/>
  <c r="G21" i="11"/>
  <c r="G36" i="11"/>
  <c r="G37" i="11"/>
  <c r="O4" i="18"/>
  <c r="U4" i="18" s="1"/>
  <c r="X4" i="18" s="1"/>
  <c r="AH4" i="18" s="1"/>
  <c r="N4" i="18"/>
  <c r="B45" i="4"/>
  <c r="B20" i="15" s="1"/>
  <c r="F8" i="21"/>
  <c r="B31" i="7"/>
  <c r="E23" i="21" s="1"/>
  <c r="F23" i="21" s="1"/>
  <c r="AC4" i="18"/>
  <c r="G23" i="11"/>
  <c r="G28" i="11"/>
  <c r="G19" i="11"/>
  <c r="B14" i="11"/>
  <c r="E11" i="11"/>
  <c r="G39" i="11"/>
  <c r="M29" i="9"/>
  <c r="M27" i="9"/>
  <c r="M25" i="9"/>
  <c r="G32" i="11"/>
  <c r="G5" i="9"/>
  <c r="B19" i="9" s="1"/>
  <c r="M23" i="11"/>
  <c r="M38" i="11"/>
  <c r="M25" i="11"/>
  <c r="M35" i="11"/>
  <c r="M28" i="11"/>
  <c r="M42" i="11"/>
  <c r="M24" i="11"/>
  <c r="M29" i="11"/>
  <c r="M31" i="9"/>
  <c r="M14" i="11"/>
  <c r="M32" i="9"/>
  <c r="K5" i="18"/>
  <c r="N5" i="18" s="1"/>
  <c r="Q5" i="18" s="1"/>
  <c r="T5" i="18" s="1"/>
  <c r="M33" i="9"/>
  <c r="M32" i="11"/>
  <c r="L5" i="18"/>
  <c r="O5" i="18" s="1"/>
  <c r="R5" i="18" s="1"/>
  <c r="U5" i="18" s="1"/>
  <c r="E18" i="21"/>
  <c r="F18" i="21" s="1"/>
  <c r="G25" i="11"/>
  <c r="M27" i="11"/>
  <c r="M40" i="11"/>
  <c r="G9" i="9"/>
  <c r="M18" i="11"/>
  <c r="E12" i="11"/>
  <c r="M21" i="11"/>
  <c r="M31" i="11"/>
  <c r="M36" i="11"/>
  <c r="M26" i="11"/>
  <c r="C8" i="12"/>
  <c r="E24" i="21"/>
  <c r="F24" i="21" s="1"/>
  <c r="A6" i="18"/>
  <c r="P5" i="18" l="1"/>
  <c r="S5" i="18" s="1"/>
  <c r="F5" i="18"/>
  <c r="Y5" i="18"/>
  <c r="W5" i="18"/>
  <c r="B13" i="9"/>
  <c r="T4" i="18"/>
  <c r="AA5" i="18"/>
  <c r="D5" i="18"/>
  <c r="D6" i="18" s="1"/>
  <c r="D7" i="18" s="1"/>
  <c r="Z5" i="18"/>
  <c r="AC5" i="18" s="1"/>
  <c r="AE5" i="18" s="1"/>
  <c r="AG5" i="18"/>
  <c r="AB5" i="18"/>
  <c r="AD5" i="18" s="1"/>
  <c r="W4" i="18"/>
  <c r="AA6" i="18"/>
  <c r="AK5" i="18"/>
  <c r="AI4" i="18"/>
  <c r="B49" i="8"/>
  <c r="B44" i="8"/>
  <c r="B47" i="8" s="1"/>
  <c r="B50" i="8" s="1"/>
  <c r="B51" i="8" s="1"/>
  <c r="I19" i="11"/>
  <c r="I34" i="11"/>
  <c r="I21" i="11"/>
  <c r="I40" i="11"/>
  <c r="I14" i="11"/>
  <c r="I36" i="11"/>
  <c r="I26" i="11"/>
  <c r="I31" i="11"/>
  <c r="I39" i="11"/>
  <c r="I16" i="11"/>
  <c r="I35" i="11"/>
  <c r="I30" i="11"/>
  <c r="I27" i="11"/>
  <c r="I37" i="11"/>
  <c r="I22" i="11"/>
  <c r="I17" i="11"/>
  <c r="I32" i="11"/>
  <c r="I42" i="11"/>
  <c r="I23" i="11"/>
  <c r="I33" i="11"/>
  <c r="I28" i="11"/>
  <c r="I18" i="11"/>
  <c r="I38" i="11"/>
  <c r="I43" i="11"/>
  <c r="I41" i="11"/>
  <c r="I25" i="11"/>
  <c r="I24" i="11"/>
  <c r="I29" i="11"/>
  <c r="I20" i="11"/>
  <c r="I15" i="11"/>
  <c r="D8" i="18"/>
  <c r="L6" i="18"/>
  <c r="Y6" i="18"/>
  <c r="AI5" i="18"/>
  <c r="C14" i="11"/>
  <c r="B15" i="11" s="1"/>
  <c r="D15" i="21"/>
  <c r="B30" i="2"/>
  <c r="C30" i="2" s="1"/>
  <c r="B29" i="2"/>
  <c r="C29" i="2" s="1"/>
  <c r="B10" i="2"/>
  <c r="B48" i="4"/>
  <c r="B31" i="2"/>
  <c r="C31" i="2" s="1"/>
  <c r="D20" i="21"/>
  <c r="F20" i="21" s="1"/>
  <c r="B13" i="6"/>
  <c r="B32" i="2"/>
  <c r="C32" i="2" s="1"/>
  <c r="B15" i="2"/>
  <c r="B16" i="2"/>
  <c r="AE4" i="18"/>
  <c r="B14" i="2"/>
  <c r="B14" i="9"/>
  <c r="H41" i="11"/>
  <c r="H32" i="11"/>
  <c r="H19" i="11"/>
  <c r="H34" i="11"/>
  <c r="H33" i="11"/>
  <c r="H26" i="11"/>
  <c r="H40" i="11"/>
  <c r="H21" i="11"/>
  <c r="H39" i="11"/>
  <c r="B11" i="11"/>
  <c r="H36" i="11"/>
  <c r="H16" i="11"/>
  <c r="H31" i="11"/>
  <c r="H20" i="11"/>
  <c r="H15" i="11"/>
  <c r="H35" i="11"/>
  <c r="H30" i="11"/>
  <c r="H43" i="11"/>
  <c r="H22" i="11"/>
  <c r="H17" i="11"/>
  <c r="H27" i="11"/>
  <c r="H37" i="11"/>
  <c r="H14" i="11"/>
  <c r="H23" i="11"/>
  <c r="H28" i="11"/>
  <c r="H18" i="11"/>
  <c r="H38" i="11"/>
  <c r="H42" i="11"/>
  <c r="H29" i="11"/>
  <c r="H25" i="11"/>
  <c r="H24" i="11"/>
  <c r="D13" i="21"/>
  <c r="B11" i="2"/>
  <c r="E13" i="21" s="1"/>
  <c r="F13" i="21" s="1"/>
  <c r="K6" i="18"/>
  <c r="F6" i="18"/>
  <c r="X5" i="18"/>
  <c r="AH5" i="18" s="1"/>
  <c r="Z6" i="18"/>
  <c r="AJ5" i="18"/>
  <c r="E8" i="18"/>
  <c r="AJ4" i="18"/>
  <c r="B29" i="3"/>
  <c r="E14" i="21" s="1"/>
  <c r="F14" i="21" s="1"/>
  <c r="B12" i="2"/>
  <c r="AF4" i="18"/>
  <c r="B20" i="7"/>
  <c r="B16" i="7"/>
  <c r="B18" i="7" s="1"/>
  <c r="B21" i="7" s="1"/>
  <c r="C6" i="18"/>
  <c r="B6" i="18"/>
  <c r="I6" i="18"/>
  <c r="G6" i="18"/>
  <c r="J6" i="18" s="1"/>
  <c r="H6" i="18"/>
  <c r="A7" i="18"/>
  <c r="D14" i="11" l="1"/>
  <c r="E14" i="11" s="1"/>
  <c r="J14" i="11"/>
  <c r="V5" i="18"/>
  <c r="AF5" i="18" s="1"/>
  <c r="B22" i="7"/>
  <c r="B26" i="7" s="1"/>
  <c r="B23" i="7"/>
  <c r="E15" i="21"/>
  <c r="F15" i="21" s="1"/>
  <c r="L14" i="11"/>
  <c r="N14" i="11" s="1"/>
  <c r="AA7" i="18"/>
  <c r="AK6" i="18"/>
  <c r="D9" i="18"/>
  <c r="M6" i="18"/>
  <c r="P6" i="18" s="1"/>
  <c r="S6" i="18" s="1"/>
  <c r="V6" i="18" s="1"/>
  <c r="AF6" i="18" s="1"/>
  <c r="Y7" i="18"/>
  <c r="AI6" i="18"/>
  <c r="N6" i="18"/>
  <c r="Q6" i="18" s="1"/>
  <c r="T6" i="18" s="1"/>
  <c r="W6" i="18" s="1"/>
  <c r="O6" i="18"/>
  <c r="R6" i="18" s="1"/>
  <c r="U6" i="18" s="1"/>
  <c r="C15" i="11"/>
  <c r="B16" i="11" s="1"/>
  <c r="E9" i="18"/>
  <c r="Z7" i="18"/>
  <c r="AJ6" i="18"/>
  <c r="AC6" i="18"/>
  <c r="AE6" i="18" s="1"/>
  <c r="F7" i="18"/>
  <c r="X6" i="18"/>
  <c r="AH6" i="18" s="1"/>
  <c r="I7" i="18"/>
  <c r="L7" i="18" s="1"/>
  <c r="H7" i="18"/>
  <c r="K7" i="18" s="1"/>
  <c r="G7" i="18"/>
  <c r="J7" i="18" s="1"/>
  <c r="C7" i="18"/>
  <c r="A8" i="18"/>
  <c r="B7" i="18"/>
  <c r="AG4" i="18"/>
  <c r="AB4" i="18"/>
  <c r="O7" i="18" l="1"/>
  <c r="R7" i="18" s="1"/>
  <c r="U7" i="18" s="1"/>
  <c r="X7" i="18" s="1"/>
  <c r="N7" i="18"/>
  <c r="Q7" i="18" s="1"/>
  <c r="T7" i="18" s="1"/>
  <c r="W7" i="18" s="1"/>
  <c r="M7" i="18"/>
  <c r="P7" i="18" s="1"/>
  <c r="S7" i="18" s="1"/>
  <c r="V7" i="18" s="1"/>
  <c r="AF7" i="18" s="1"/>
  <c r="D10" i="18"/>
  <c r="AD4" i="18"/>
  <c r="AJ7" i="18"/>
  <c r="Z8" i="18"/>
  <c r="AC7" i="18"/>
  <c r="AE7" i="18" s="1"/>
  <c r="AK7" i="18"/>
  <c r="AA8" i="18"/>
  <c r="A9" i="18"/>
  <c r="I8" i="18"/>
  <c r="L8" i="18" s="1"/>
  <c r="H8" i="18"/>
  <c r="K8" i="18" s="1"/>
  <c r="C8" i="18"/>
  <c r="G8" i="18"/>
  <c r="J8" i="18" s="1"/>
  <c r="B8" i="18"/>
  <c r="F8" i="18"/>
  <c r="AG6" i="18"/>
  <c r="AB6" i="18"/>
  <c r="AD6" i="18" s="1"/>
  <c r="AI7" i="18"/>
  <c r="Y8" i="18"/>
  <c r="E10" i="18"/>
  <c r="C16" i="11"/>
  <c r="B17" i="11" s="1"/>
  <c r="D15" i="11"/>
  <c r="N8" i="18" l="1"/>
  <c r="Q8" i="18" s="1"/>
  <c r="T8" i="18" s="1"/>
  <c r="W8" i="18" s="1"/>
  <c r="M8" i="18"/>
  <c r="P8" i="18" s="1"/>
  <c r="S8" i="18" s="1"/>
  <c r="V8" i="18" s="1"/>
  <c r="AF8" i="18" s="1"/>
  <c r="O8" i="18"/>
  <c r="R8" i="18" s="1"/>
  <c r="U8" i="18" s="1"/>
  <c r="AH7" i="18"/>
  <c r="AG7" i="18"/>
  <c r="AB7" i="18"/>
  <c r="AD7" i="18" s="1"/>
  <c r="X8" i="18"/>
  <c r="AH8" i="18" s="1"/>
  <c r="F9" i="18"/>
  <c r="AJ8" i="18"/>
  <c r="Z9" i="18"/>
  <c r="AC8" i="18"/>
  <c r="AE8" i="18" s="1"/>
  <c r="D11" i="18"/>
  <c r="C17" i="11"/>
  <c r="B18" i="11" s="1"/>
  <c r="D16" i="11"/>
  <c r="G9" i="18"/>
  <c r="J9" i="18" s="1"/>
  <c r="C9" i="18"/>
  <c r="A10" i="18"/>
  <c r="H9" i="18"/>
  <c r="K9" i="18" s="1"/>
  <c r="I9" i="18"/>
  <c r="L9" i="18" s="1"/>
  <c r="B9" i="18"/>
  <c r="AA9" i="18"/>
  <c r="AK8" i="18"/>
  <c r="E15" i="11"/>
  <c r="J15" i="11"/>
  <c r="E11" i="18"/>
  <c r="AI8" i="18"/>
  <c r="Y9" i="18"/>
  <c r="N9" i="18" l="1"/>
  <c r="Q9" i="18" s="1"/>
  <c r="T9" i="18" s="1"/>
  <c r="W9" i="18" s="1"/>
  <c r="M9" i="18"/>
  <c r="P9" i="18" s="1"/>
  <c r="S9" i="18" s="1"/>
  <c r="V9" i="18" s="1"/>
  <c r="AF9" i="18" s="1"/>
  <c r="A11" i="18"/>
  <c r="I10" i="18"/>
  <c r="L10" i="18" s="1"/>
  <c r="H10" i="18"/>
  <c r="K10" i="18" s="1"/>
  <c r="C10" i="18"/>
  <c r="B10" i="18"/>
  <c r="G10" i="18"/>
  <c r="J10" i="18" s="1"/>
  <c r="L15" i="11"/>
  <c r="N15" i="11" s="1"/>
  <c r="E16" i="11"/>
  <c r="J16" i="11"/>
  <c r="D17" i="11"/>
  <c r="Z10" i="18"/>
  <c r="AJ9" i="18"/>
  <c r="AC9" i="18"/>
  <c r="AE9" i="18" s="1"/>
  <c r="F10" i="18"/>
  <c r="E12" i="18"/>
  <c r="AG8" i="18"/>
  <c r="AB8" i="18"/>
  <c r="AD8" i="18" s="1"/>
  <c r="C18" i="11"/>
  <c r="B19" i="11" s="1"/>
  <c r="D12" i="18"/>
  <c r="AI9" i="18"/>
  <c r="Y10" i="18"/>
  <c r="O9" i="18"/>
  <c r="R9" i="18" s="1"/>
  <c r="U9" i="18" s="1"/>
  <c r="X9" i="18" s="1"/>
  <c r="AH9" i="18" s="1"/>
  <c r="AA10" i="18"/>
  <c r="AK9" i="18"/>
  <c r="N10" i="18" l="1"/>
  <c r="Q10" i="18" s="1"/>
  <c r="T10" i="18" s="1"/>
  <c r="W10" i="18" s="1"/>
  <c r="M10" i="18"/>
  <c r="P10" i="18" s="1"/>
  <c r="S10" i="18" s="1"/>
  <c r="V10" i="18" s="1"/>
  <c r="AF10" i="18" s="1"/>
  <c r="O10" i="18"/>
  <c r="R10" i="18" s="1"/>
  <c r="U10" i="18" s="1"/>
  <c r="D18" i="11"/>
  <c r="D13" i="18"/>
  <c r="X10" i="18"/>
  <c r="AH10" i="18" s="1"/>
  <c r="F11" i="18"/>
  <c r="L16" i="11"/>
  <c r="N16" i="11" s="1"/>
  <c r="B11" i="18"/>
  <c r="A12" i="18"/>
  <c r="I11" i="18"/>
  <c r="L11" i="18" s="1"/>
  <c r="H11" i="18"/>
  <c r="K11" i="18" s="1"/>
  <c r="G11" i="18"/>
  <c r="J11" i="18" s="1"/>
  <c r="C11" i="18"/>
  <c r="AI10" i="18"/>
  <c r="Y11" i="18"/>
  <c r="AG9" i="18"/>
  <c r="AB9" i="18"/>
  <c r="AD9" i="18" s="1"/>
  <c r="C19" i="11"/>
  <c r="B20" i="11" s="1"/>
  <c r="E13" i="18"/>
  <c r="AJ10" i="18"/>
  <c r="Z11" i="18"/>
  <c r="AC10" i="18"/>
  <c r="AE10" i="18" s="1"/>
  <c r="E17" i="11"/>
  <c r="J17" i="11"/>
  <c r="AK10" i="18"/>
  <c r="AA11" i="18"/>
  <c r="N11" i="18" l="1"/>
  <c r="Q11" i="18" s="1"/>
  <c r="T11" i="18" s="1"/>
  <c r="W11" i="18" s="1"/>
  <c r="O11" i="18"/>
  <c r="R11" i="18" s="1"/>
  <c r="U11" i="18" s="1"/>
  <c r="X11" i="18" s="1"/>
  <c r="AH11" i="18" s="1"/>
  <c r="M11" i="18"/>
  <c r="P11" i="18" s="1"/>
  <c r="S11" i="18" s="1"/>
  <c r="V11" i="18" s="1"/>
  <c r="AF11" i="18" s="1"/>
  <c r="AJ11" i="18"/>
  <c r="Z12" i="18"/>
  <c r="AC11" i="18"/>
  <c r="AE11" i="18" s="1"/>
  <c r="H12" i="18"/>
  <c r="K12" i="18" s="1"/>
  <c r="B12" i="18"/>
  <c r="A13" i="18"/>
  <c r="G12" i="18"/>
  <c r="J12" i="18" s="1"/>
  <c r="C12" i="18"/>
  <c r="I12" i="18"/>
  <c r="L12" i="18" s="1"/>
  <c r="AA12" i="18"/>
  <c r="AK11" i="18"/>
  <c r="F12" i="18"/>
  <c r="D14" i="18"/>
  <c r="C20" i="11"/>
  <c r="B21" i="11" s="1"/>
  <c r="L17" i="11"/>
  <c r="N17" i="11" s="1"/>
  <c r="E14" i="18"/>
  <c r="E18" i="11"/>
  <c r="J18" i="11"/>
  <c r="D19" i="11"/>
  <c r="AG10" i="18"/>
  <c r="AB10" i="18"/>
  <c r="AD10" i="18" s="1"/>
  <c r="AI11" i="18"/>
  <c r="Y12" i="18"/>
  <c r="M12" i="18" l="1"/>
  <c r="P12" i="18" s="1"/>
  <c r="S12" i="18" s="1"/>
  <c r="V12" i="18" s="1"/>
  <c r="AF12" i="18" s="1"/>
  <c r="O12" i="18"/>
  <c r="R12" i="18" s="1"/>
  <c r="U12" i="18" s="1"/>
  <c r="N12" i="18"/>
  <c r="Q12" i="18" s="1"/>
  <c r="T12" i="18" s="1"/>
  <c r="W12" i="18" s="1"/>
  <c r="AI12" i="18"/>
  <c r="Y13" i="18"/>
  <c r="E15" i="18"/>
  <c r="C21" i="11"/>
  <c r="B22" i="11" s="1"/>
  <c r="L18" i="11"/>
  <c r="N18" i="11" s="1"/>
  <c r="D20" i="11"/>
  <c r="D15" i="18"/>
  <c r="F13" i="18"/>
  <c r="X12" i="18"/>
  <c r="AH12" i="18" s="1"/>
  <c r="AA13" i="18"/>
  <c r="AK12" i="18"/>
  <c r="AJ12" i="18"/>
  <c r="Z13" i="18"/>
  <c r="AC12" i="18"/>
  <c r="AE12" i="18" s="1"/>
  <c r="AG11" i="18"/>
  <c r="AB11" i="18"/>
  <c r="AD11" i="18" s="1"/>
  <c r="A14" i="18"/>
  <c r="I13" i="18"/>
  <c r="L13" i="18" s="1"/>
  <c r="G13" i="18"/>
  <c r="J13" i="18" s="1"/>
  <c r="C13" i="18"/>
  <c r="B13" i="18"/>
  <c r="H13" i="18"/>
  <c r="K13" i="18" s="1"/>
  <c r="E19" i="11"/>
  <c r="J19" i="11"/>
  <c r="M13" i="18" l="1"/>
  <c r="P13" i="18" s="1"/>
  <c r="S13" i="18" s="1"/>
  <c r="V13" i="18" s="1"/>
  <c r="AF13" i="18" s="1"/>
  <c r="N13" i="18"/>
  <c r="Q13" i="18" s="1"/>
  <c r="T13" i="18" s="1"/>
  <c r="W13" i="18" s="1"/>
  <c r="O13" i="18"/>
  <c r="R13" i="18" s="1"/>
  <c r="U13" i="18" s="1"/>
  <c r="X13" i="18" s="1"/>
  <c r="AH13" i="18" s="1"/>
  <c r="AK13" i="18"/>
  <c r="AA14" i="18"/>
  <c r="F14" i="18"/>
  <c r="D16" i="18"/>
  <c r="E20" i="11"/>
  <c r="J20" i="11"/>
  <c r="D21" i="11"/>
  <c r="Y14" i="18"/>
  <c r="AI13" i="18"/>
  <c r="L19" i="11"/>
  <c r="N19" i="11" s="1"/>
  <c r="Z14" i="18"/>
  <c r="AJ13" i="18"/>
  <c r="AC13" i="18"/>
  <c r="AE13" i="18" s="1"/>
  <c r="C22" i="11"/>
  <c r="B23" i="11" s="1"/>
  <c r="B14" i="18"/>
  <c r="A15" i="18"/>
  <c r="H14" i="18"/>
  <c r="K14" i="18" s="1"/>
  <c r="G14" i="18"/>
  <c r="J14" i="18" s="1"/>
  <c r="I14" i="18"/>
  <c r="L14" i="18" s="1"/>
  <c r="C14" i="18"/>
  <c r="E16" i="18"/>
  <c r="AG12" i="18"/>
  <c r="AB12" i="18"/>
  <c r="AD12" i="18" s="1"/>
  <c r="O14" i="18" l="1"/>
  <c r="R14" i="18" s="1"/>
  <c r="U14" i="18" s="1"/>
  <c r="M14" i="18"/>
  <c r="P14" i="18" s="1"/>
  <c r="S14" i="18" s="1"/>
  <c r="V14" i="18" s="1"/>
  <c r="AF14" i="18" s="1"/>
  <c r="N14" i="18"/>
  <c r="Q14" i="18" s="1"/>
  <c r="T14" i="18" s="1"/>
  <c r="W14" i="18" s="1"/>
  <c r="C23" i="11"/>
  <c r="B24" i="11" s="1"/>
  <c r="D22" i="11"/>
  <c r="L20" i="11"/>
  <c r="N20" i="11" s="1"/>
  <c r="D17" i="18"/>
  <c r="AG13" i="18"/>
  <c r="AB13" i="18"/>
  <c r="AD13" i="18" s="1"/>
  <c r="AJ14" i="18"/>
  <c r="Z15" i="18"/>
  <c r="AC14" i="18"/>
  <c r="AE14" i="18" s="1"/>
  <c r="Y15" i="18"/>
  <c r="AI14" i="18"/>
  <c r="E21" i="11"/>
  <c r="J21" i="11"/>
  <c r="L21" i="11" s="1"/>
  <c r="N21" i="11" s="1"/>
  <c r="F15" i="18"/>
  <c r="X14" i="18"/>
  <c r="AH14" i="18" s="1"/>
  <c r="AK14" i="18"/>
  <c r="AA15" i="18"/>
  <c r="E17" i="18"/>
  <c r="I15" i="18"/>
  <c r="L15" i="18" s="1"/>
  <c r="G15" i="18"/>
  <c r="J15" i="18" s="1"/>
  <c r="B15" i="18"/>
  <c r="A16" i="18"/>
  <c r="H15" i="18"/>
  <c r="K15" i="18" s="1"/>
  <c r="C15" i="18"/>
  <c r="O15" i="18" l="1"/>
  <c r="R15" i="18" s="1"/>
  <c r="U15" i="18" s="1"/>
  <c r="N15" i="18"/>
  <c r="Q15" i="18" s="1"/>
  <c r="T15" i="18" s="1"/>
  <c r="W15" i="18" s="1"/>
  <c r="M15" i="18"/>
  <c r="P15" i="18" s="1"/>
  <c r="S15" i="18" s="1"/>
  <c r="V15" i="18" s="1"/>
  <c r="AF15" i="18" s="1"/>
  <c r="E18" i="18"/>
  <c r="AK15" i="18"/>
  <c r="AA16" i="18"/>
  <c r="D23" i="11"/>
  <c r="Z16" i="18"/>
  <c r="AJ15" i="18"/>
  <c r="AC15" i="18"/>
  <c r="AE15" i="18" s="1"/>
  <c r="C24" i="11"/>
  <c r="B25" i="11" s="1"/>
  <c r="F16" i="18"/>
  <c r="X15" i="18"/>
  <c r="AH15" i="18" s="1"/>
  <c r="D18" i="18"/>
  <c r="A17" i="18"/>
  <c r="C16" i="18"/>
  <c r="I16" i="18"/>
  <c r="L16" i="18" s="1"/>
  <c r="H16" i="18"/>
  <c r="K16" i="18" s="1"/>
  <c r="G16" i="18"/>
  <c r="J16" i="18" s="1"/>
  <c r="B16" i="18"/>
  <c r="E22" i="11"/>
  <c r="J22" i="11"/>
  <c r="L22" i="11" s="1"/>
  <c r="N22" i="11" s="1"/>
  <c r="AG14" i="18"/>
  <c r="AB14" i="18"/>
  <c r="AD14" i="18" s="1"/>
  <c r="Y16" i="18"/>
  <c r="AI15" i="18"/>
  <c r="N16" i="18" l="1"/>
  <c r="Q16" i="18" s="1"/>
  <c r="T16" i="18" s="1"/>
  <c r="W16" i="18" s="1"/>
  <c r="M16" i="18"/>
  <c r="P16" i="18" s="1"/>
  <c r="S16" i="18" s="1"/>
  <c r="V16" i="18" s="1"/>
  <c r="AF16" i="18" s="1"/>
  <c r="O16" i="18"/>
  <c r="R16" i="18" s="1"/>
  <c r="U16" i="18" s="1"/>
  <c r="C17" i="18"/>
  <c r="B17" i="18"/>
  <c r="I17" i="18"/>
  <c r="L17" i="18" s="1"/>
  <c r="H17" i="18"/>
  <c r="K17" i="18" s="1"/>
  <c r="G17" i="18"/>
  <c r="J17" i="18" s="1"/>
  <c r="A18" i="18"/>
  <c r="D19" i="18"/>
  <c r="D24" i="11"/>
  <c r="AK16" i="18"/>
  <c r="AA17" i="18"/>
  <c r="E19" i="18"/>
  <c r="Y17" i="18"/>
  <c r="AI16" i="18"/>
  <c r="C25" i="11"/>
  <c r="B26" i="11" s="1"/>
  <c r="E23" i="11"/>
  <c r="J23" i="11"/>
  <c r="L23" i="11" s="1"/>
  <c r="N23" i="11" s="1"/>
  <c r="X16" i="18"/>
  <c r="AH16" i="18" s="1"/>
  <c r="F17" i="18"/>
  <c r="Z17" i="18"/>
  <c r="AJ16" i="18"/>
  <c r="AC16" i="18"/>
  <c r="AE16" i="18" s="1"/>
  <c r="AG15" i="18"/>
  <c r="AB15" i="18"/>
  <c r="AD15" i="18" s="1"/>
  <c r="M17" i="18" l="1"/>
  <c r="P17" i="18" s="1"/>
  <c r="S17" i="18" s="1"/>
  <c r="V17" i="18" s="1"/>
  <c r="AF17" i="18" s="1"/>
  <c r="N17" i="18"/>
  <c r="Q17" i="18" s="1"/>
  <c r="T17" i="18" s="1"/>
  <c r="W17" i="18" s="1"/>
  <c r="O17" i="18"/>
  <c r="R17" i="18" s="1"/>
  <c r="U17" i="18" s="1"/>
  <c r="X17" i="18" s="1"/>
  <c r="AH17" i="18" s="1"/>
  <c r="F18" i="18"/>
  <c r="C26" i="11"/>
  <c r="B27" i="11" s="1"/>
  <c r="E20" i="18"/>
  <c r="E24" i="11"/>
  <c r="J24" i="11"/>
  <c r="L24" i="11" s="1"/>
  <c r="N24" i="11" s="1"/>
  <c r="AG16" i="18"/>
  <c r="AB16" i="18"/>
  <c r="AD16" i="18" s="1"/>
  <c r="Z18" i="18"/>
  <c r="AJ17" i="18"/>
  <c r="AC17" i="18"/>
  <c r="AE17" i="18" s="1"/>
  <c r="D25" i="11"/>
  <c r="Y18" i="18"/>
  <c r="AI17" i="18"/>
  <c r="AA18" i="18"/>
  <c r="AK17" i="18"/>
  <c r="D20" i="18"/>
  <c r="A19" i="18"/>
  <c r="G18" i="18"/>
  <c r="J18" i="18" s="1"/>
  <c r="I18" i="18"/>
  <c r="L18" i="18" s="1"/>
  <c r="H18" i="18"/>
  <c r="K18" i="18" s="1"/>
  <c r="C18" i="18"/>
  <c r="B18" i="18"/>
  <c r="M18" i="18" l="1"/>
  <c r="P18" i="18" s="1"/>
  <c r="S18" i="18" s="1"/>
  <c r="V18" i="18" s="1"/>
  <c r="AF18" i="18" s="1"/>
  <c r="N18" i="18"/>
  <c r="Q18" i="18" s="1"/>
  <c r="T18" i="18" s="1"/>
  <c r="W18" i="18" s="1"/>
  <c r="I19" i="18"/>
  <c r="H19" i="18"/>
  <c r="K19" i="18" s="1"/>
  <c r="G19" i="18"/>
  <c r="J19" i="18" s="1"/>
  <c r="A20" i="18"/>
  <c r="C19" i="18"/>
  <c r="B19" i="18"/>
  <c r="AK18" i="18"/>
  <c r="AA19" i="18"/>
  <c r="E21" i="18"/>
  <c r="Z19" i="18"/>
  <c r="AJ18" i="18"/>
  <c r="AC18" i="18"/>
  <c r="AE18" i="18" s="1"/>
  <c r="D26" i="11"/>
  <c r="L19" i="18"/>
  <c r="O18" i="18"/>
  <c r="R18" i="18" s="1"/>
  <c r="U18" i="18" s="1"/>
  <c r="X18" i="18" s="1"/>
  <c r="AH18" i="18" s="1"/>
  <c r="D21" i="18"/>
  <c r="AI18" i="18"/>
  <c r="Y19" i="18"/>
  <c r="E25" i="11"/>
  <c r="J25" i="11"/>
  <c r="L25" i="11" s="1"/>
  <c r="N25" i="11" s="1"/>
  <c r="C27" i="11"/>
  <c r="B28" i="11" s="1"/>
  <c r="F19" i="18"/>
  <c r="AG17" i="18"/>
  <c r="AB17" i="18"/>
  <c r="AD17" i="18" s="1"/>
  <c r="M19" i="18" l="1"/>
  <c r="P19" i="18" s="1"/>
  <c r="S19" i="18" s="1"/>
  <c r="V19" i="18" s="1"/>
  <c r="AF19" i="18" s="1"/>
  <c r="N19" i="18"/>
  <c r="Q19" i="18" s="1"/>
  <c r="T19" i="18" s="1"/>
  <c r="W19" i="18" s="1"/>
  <c r="C28" i="11"/>
  <c r="B29" i="11" s="1"/>
  <c r="E26" i="11"/>
  <c r="J26" i="11"/>
  <c r="L26" i="11" s="1"/>
  <c r="N26" i="11" s="1"/>
  <c r="E22" i="18"/>
  <c r="AJ19" i="18"/>
  <c r="Z20" i="18"/>
  <c r="AC19" i="18"/>
  <c r="AE19" i="18" s="1"/>
  <c r="D27" i="11"/>
  <c r="Y20" i="18"/>
  <c r="AI19" i="18"/>
  <c r="D22" i="18"/>
  <c r="O19" i="18"/>
  <c r="R19" i="18" s="1"/>
  <c r="U19" i="18" s="1"/>
  <c r="X19" i="18" s="1"/>
  <c r="AH19" i="18" s="1"/>
  <c r="AK19" i="18"/>
  <c r="AA20" i="18"/>
  <c r="C20" i="18"/>
  <c r="B20" i="18"/>
  <c r="I20" i="18"/>
  <c r="L20" i="18" s="1"/>
  <c r="H20" i="18"/>
  <c r="K20" i="18" s="1"/>
  <c r="G20" i="18"/>
  <c r="J20" i="18" s="1"/>
  <c r="A21" i="18"/>
  <c r="AG18" i="18"/>
  <c r="AB18" i="18"/>
  <c r="AD18" i="18" s="1"/>
  <c r="F20" i="18"/>
  <c r="M20" i="18" l="1"/>
  <c r="P20" i="18" s="1"/>
  <c r="S20" i="18" s="1"/>
  <c r="V20" i="18" s="1"/>
  <c r="AF20" i="18" s="1"/>
  <c r="O20" i="18"/>
  <c r="R20" i="18" s="1"/>
  <c r="U20" i="18" s="1"/>
  <c r="N20" i="18"/>
  <c r="Q20" i="18" s="1"/>
  <c r="T20" i="18" s="1"/>
  <c r="W20" i="18" s="1"/>
  <c r="Y21" i="18"/>
  <c r="AI20" i="18"/>
  <c r="AA21" i="18"/>
  <c r="AK20" i="18"/>
  <c r="D23" i="18"/>
  <c r="Z21" i="18"/>
  <c r="AJ20" i="18"/>
  <c r="AC20" i="18"/>
  <c r="AE20" i="18" s="1"/>
  <c r="F21" i="18"/>
  <c r="X20" i="18"/>
  <c r="AH20" i="18" s="1"/>
  <c r="E23" i="18"/>
  <c r="D28" i="11"/>
  <c r="H21" i="18"/>
  <c r="K21" i="18" s="1"/>
  <c r="G21" i="18"/>
  <c r="J21" i="18" s="1"/>
  <c r="B21" i="18"/>
  <c r="A22" i="18"/>
  <c r="I21" i="18"/>
  <c r="L21" i="18" s="1"/>
  <c r="C21" i="18"/>
  <c r="E27" i="11"/>
  <c r="J27" i="11"/>
  <c r="L27" i="11" s="1"/>
  <c r="N27" i="11" s="1"/>
  <c r="C29" i="11"/>
  <c r="B30" i="11" s="1"/>
  <c r="AG19" i="18"/>
  <c r="AB19" i="18"/>
  <c r="AD19" i="18" s="1"/>
  <c r="M21" i="18" l="1"/>
  <c r="P21" i="18" s="1"/>
  <c r="S21" i="18" s="1"/>
  <c r="V21" i="18" s="1"/>
  <c r="AF21" i="18" s="1"/>
  <c r="O21" i="18"/>
  <c r="R21" i="18" s="1"/>
  <c r="U21" i="18" s="1"/>
  <c r="N21" i="18"/>
  <c r="Q21" i="18" s="1"/>
  <c r="T21" i="18" s="1"/>
  <c r="W21" i="18" s="1"/>
  <c r="E24" i="18"/>
  <c r="AJ21" i="18"/>
  <c r="Z22" i="18"/>
  <c r="AC21" i="18"/>
  <c r="AE21" i="18" s="1"/>
  <c r="AI21" i="18"/>
  <c r="Y22" i="18"/>
  <c r="AA22" i="18"/>
  <c r="AK21" i="18"/>
  <c r="B22" i="18"/>
  <c r="A23" i="18"/>
  <c r="I22" i="18"/>
  <c r="L22" i="18" s="1"/>
  <c r="H22" i="18"/>
  <c r="K22" i="18" s="1"/>
  <c r="G22" i="18"/>
  <c r="J22" i="18" s="1"/>
  <c r="C22" i="18"/>
  <c r="E28" i="11"/>
  <c r="J28" i="11"/>
  <c r="L28" i="11" s="1"/>
  <c r="N28" i="11" s="1"/>
  <c r="F22" i="18"/>
  <c r="X21" i="18"/>
  <c r="AH21" i="18" s="1"/>
  <c r="D24" i="18"/>
  <c r="AG20" i="18"/>
  <c r="AB20" i="18"/>
  <c r="AD20" i="18" s="1"/>
  <c r="C30" i="11"/>
  <c r="B31" i="11" s="1"/>
  <c r="D29" i="11"/>
  <c r="N22" i="18" l="1"/>
  <c r="Q22" i="18" s="1"/>
  <c r="T22" i="18" s="1"/>
  <c r="W22" i="18" s="1"/>
  <c r="M22" i="18"/>
  <c r="P22" i="18" s="1"/>
  <c r="S22" i="18" s="1"/>
  <c r="V22" i="18" s="1"/>
  <c r="AF22" i="18" s="1"/>
  <c r="O22" i="18"/>
  <c r="R22" i="18" s="1"/>
  <c r="U22" i="18" s="1"/>
  <c r="X22" i="18" s="1"/>
  <c r="AH22" i="18" s="1"/>
  <c r="AA23" i="18"/>
  <c r="AK22" i="18"/>
  <c r="F23" i="18"/>
  <c r="D25" i="18"/>
  <c r="C23" i="18"/>
  <c r="B23" i="18"/>
  <c r="A24" i="18"/>
  <c r="H23" i="18"/>
  <c r="K23" i="18" s="1"/>
  <c r="G23" i="18"/>
  <c r="J23" i="18" s="1"/>
  <c r="I23" i="18"/>
  <c r="L23" i="18" s="1"/>
  <c r="Y23" i="18"/>
  <c r="AI22" i="18"/>
  <c r="Z23" i="18"/>
  <c r="AJ22" i="18"/>
  <c r="AC22" i="18"/>
  <c r="AE22" i="18" s="1"/>
  <c r="AG21" i="18"/>
  <c r="AB21" i="18"/>
  <c r="AD21" i="18" s="1"/>
  <c r="E25" i="18"/>
  <c r="E29" i="11"/>
  <c r="J29" i="11"/>
  <c r="L29" i="11" s="1"/>
  <c r="N29" i="11" s="1"/>
  <c r="C31" i="11"/>
  <c r="B32" i="11" s="1"/>
  <c r="D30" i="11"/>
  <c r="O23" i="18" l="1"/>
  <c r="R23" i="18" s="1"/>
  <c r="U23" i="18" s="1"/>
  <c r="N23" i="18"/>
  <c r="Q23" i="18" s="1"/>
  <c r="T23" i="18" s="1"/>
  <c r="W23" i="18" s="1"/>
  <c r="M23" i="18"/>
  <c r="P23" i="18" s="1"/>
  <c r="S23" i="18" s="1"/>
  <c r="V23" i="18" s="1"/>
  <c r="AF23" i="18" s="1"/>
  <c r="E26" i="18"/>
  <c r="AI23" i="18"/>
  <c r="Y24" i="18"/>
  <c r="I24" i="18"/>
  <c r="L24" i="18" s="1"/>
  <c r="H24" i="18"/>
  <c r="K24" i="18" s="1"/>
  <c r="C24" i="18"/>
  <c r="B24" i="18"/>
  <c r="A25" i="18"/>
  <c r="G24" i="18"/>
  <c r="J24" i="18" s="1"/>
  <c r="D26" i="18"/>
  <c r="E30" i="11"/>
  <c r="J30" i="11"/>
  <c r="L30" i="11" s="1"/>
  <c r="N30" i="11" s="1"/>
  <c r="AG22" i="18"/>
  <c r="AB22" i="18"/>
  <c r="AD22" i="18" s="1"/>
  <c r="AJ23" i="18"/>
  <c r="Z24" i="18"/>
  <c r="AC23" i="18"/>
  <c r="AE23" i="18" s="1"/>
  <c r="F24" i="18"/>
  <c r="X23" i="18"/>
  <c r="AH23" i="18" s="1"/>
  <c r="AK23" i="18"/>
  <c r="AA24" i="18"/>
  <c r="C32" i="11"/>
  <c r="B33" i="11" s="1"/>
  <c r="D31" i="11"/>
  <c r="N24" i="18" l="1"/>
  <c r="Q24" i="18" s="1"/>
  <c r="T24" i="18" s="1"/>
  <c r="W24" i="18" s="1"/>
  <c r="M24" i="18"/>
  <c r="P24" i="18" s="1"/>
  <c r="S24" i="18" s="1"/>
  <c r="V24" i="18" s="1"/>
  <c r="AF24" i="18" s="1"/>
  <c r="O24" i="18"/>
  <c r="R24" i="18" s="1"/>
  <c r="U24" i="18" s="1"/>
  <c r="AJ24" i="18"/>
  <c r="Z25" i="18"/>
  <c r="AC24" i="18"/>
  <c r="AE24" i="18" s="1"/>
  <c r="D27" i="18"/>
  <c r="C33" i="11"/>
  <c r="B34" i="11" s="1"/>
  <c r="X24" i="18"/>
  <c r="AH24" i="18" s="1"/>
  <c r="F25" i="18"/>
  <c r="E27" i="18"/>
  <c r="E31" i="11"/>
  <c r="J31" i="11"/>
  <c r="L31" i="11" s="1"/>
  <c r="N31" i="11" s="1"/>
  <c r="C25" i="18"/>
  <c r="A26" i="18"/>
  <c r="B25" i="18"/>
  <c r="H25" i="18"/>
  <c r="K25" i="18" s="1"/>
  <c r="G25" i="18"/>
  <c r="J25" i="18" s="1"/>
  <c r="I25" i="18"/>
  <c r="L25" i="18" s="1"/>
  <c r="AI24" i="18"/>
  <c r="Y25" i="18"/>
  <c r="AG23" i="18"/>
  <c r="AB23" i="18"/>
  <c r="AD23" i="18" s="1"/>
  <c r="D32" i="11"/>
  <c r="AK24" i="18"/>
  <c r="AA25" i="18"/>
  <c r="O25" i="18" l="1"/>
  <c r="R25" i="18" s="1"/>
  <c r="U25" i="18" s="1"/>
  <c r="M25" i="18"/>
  <c r="P25" i="18" s="1"/>
  <c r="S25" i="18" s="1"/>
  <c r="V25" i="18" s="1"/>
  <c r="AF25" i="18" s="1"/>
  <c r="N25" i="18"/>
  <c r="Q25" i="18" s="1"/>
  <c r="T25" i="18" s="1"/>
  <c r="W25" i="18" s="1"/>
  <c r="Y26" i="18"/>
  <c r="AI25" i="18"/>
  <c r="E28" i="18"/>
  <c r="F26" i="18"/>
  <c r="X25" i="18"/>
  <c r="AH25" i="18" s="1"/>
  <c r="D33" i="11"/>
  <c r="D28" i="18"/>
  <c r="Z26" i="18"/>
  <c r="AJ25" i="18"/>
  <c r="AC25" i="18"/>
  <c r="AE25" i="18" s="1"/>
  <c r="AG24" i="18"/>
  <c r="AB24" i="18"/>
  <c r="AD24" i="18" s="1"/>
  <c r="A27" i="18"/>
  <c r="B26" i="18"/>
  <c r="I26" i="18"/>
  <c r="L26" i="18" s="1"/>
  <c r="G26" i="18"/>
  <c r="J26" i="18" s="1"/>
  <c r="C26" i="18"/>
  <c r="H26" i="18"/>
  <c r="K26" i="18" s="1"/>
  <c r="C34" i="11"/>
  <c r="B35" i="11" s="1"/>
  <c r="AK25" i="18"/>
  <c r="AA26" i="18"/>
  <c r="E32" i="11"/>
  <c r="J32" i="11"/>
  <c r="L32" i="11" s="1"/>
  <c r="N32" i="11" s="1"/>
  <c r="N26" i="18" l="1"/>
  <c r="Q26" i="18" s="1"/>
  <c r="T26" i="18" s="1"/>
  <c r="W26" i="18" s="1"/>
  <c r="M26" i="18"/>
  <c r="P26" i="18" s="1"/>
  <c r="S26" i="18" s="1"/>
  <c r="V26" i="18" s="1"/>
  <c r="AF26" i="18" s="1"/>
  <c r="O26" i="18"/>
  <c r="R26" i="18" s="1"/>
  <c r="U26" i="18" s="1"/>
  <c r="C35" i="11"/>
  <c r="B36" i="11" s="1"/>
  <c r="A28" i="18"/>
  <c r="I27" i="18"/>
  <c r="L27" i="18" s="1"/>
  <c r="C27" i="18"/>
  <c r="B27" i="18"/>
  <c r="G27" i="18"/>
  <c r="J27" i="18" s="1"/>
  <c r="H27" i="18"/>
  <c r="K27" i="18" s="1"/>
  <c r="AJ26" i="18"/>
  <c r="Z27" i="18"/>
  <c r="AC26" i="18"/>
  <c r="AE26" i="18" s="1"/>
  <c r="D29" i="18"/>
  <c r="E29" i="18"/>
  <c r="D34" i="11"/>
  <c r="AG25" i="18"/>
  <c r="AB25" i="18"/>
  <c r="AD25" i="18" s="1"/>
  <c r="E33" i="11"/>
  <c r="J33" i="11"/>
  <c r="L33" i="11" s="1"/>
  <c r="N33" i="11" s="1"/>
  <c r="X26" i="18"/>
  <c r="AH26" i="18" s="1"/>
  <c r="F27" i="18"/>
  <c r="Y27" i="18"/>
  <c r="AI26" i="18"/>
  <c r="AK26" i="18"/>
  <c r="AA27" i="18"/>
  <c r="M27" i="18" l="1"/>
  <c r="P27" i="18" s="1"/>
  <c r="S27" i="18" s="1"/>
  <c r="V27" i="18" s="1"/>
  <c r="AF27" i="18" s="1"/>
  <c r="O27" i="18"/>
  <c r="R27" i="18" s="1"/>
  <c r="U27" i="18" s="1"/>
  <c r="N27" i="18"/>
  <c r="Q27" i="18" s="1"/>
  <c r="T27" i="18" s="1"/>
  <c r="W27" i="18" s="1"/>
  <c r="E30" i="18"/>
  <c r="C36" i="11"/>
  <c r="B37" i="11" s="1"/>
  <c r="E34" i="11"/>
  <c r="J34" i="11"/>
  <c r="L34" i="11" s="1"/>
  <c r="N34" i="11" s="1"/>
  <c r="D30" i="18"/>
  <c r="Z28" i="18"/>
  <c r="AJ27" i="18"/>
  <c r="AC27" i="18"/>
  <c r="AE27" i="18" s="1"/>
  <c r="D35" i="11"/>
  <c r="AK27" i="18"/>
  <c r="AA28" i="18"/>
  <c r="AG26" i="18"/>
  <c r="AB26" i="18"/>
  <c r="AD26" i="18" s="1"/>
  <c r="X27" i="18"/>
  <c r="AH27" i="18" s="1"/>
  <c r="F28" i="18"/>
  <c r="C28" i="18"/>
  <c r="A29" i="18"/>
  <c r="B28" i="18"/>
  <c r="I28" i="18"/>
  <c r="L28" i="18" s="1"/>
  <c r="H28" i="18"/>
  <c r="K28" i="18" s="1"/>
  <c r="G28" i="18"/>
  <c r="J28" i="18" s="1"/>
  <c r="Y28" i="18"/>
  <c r="AI27" i="18"/>
  <c r="M28" i="18" l="1"/>
  <c r="P28" i="18" s="1"/>
  <c r="S28" i="18" s="1"/>
  <c r="V28" i="18" s="1"/>
  <c r="AF28" i="18" s="1"/>
  <c r="O28" i="18"/>
  <c r="R28" i="18" s="1"/>
  <c r="U28" i="18" s="1"/>
  <c r="F29" i="18"/>
  <c r="X28" i="18"/>
  <c r="AH28" i="18" s="1"/>
  <c r="AA29" i="18"/>
  <c r="AK28" i="18"/>
  <c r="E35" i="11"/>
  <c r="J35" i="11"/>
  <c r="L35" i="11" s="1"/>
  <c r="N35" i="11" s="1"/>
  <c r="AG27" i="18"/>
  <c r="AB27" i="18"/>
  <c r="AD27" i="18" s="1"/>
  <c r="Y29" i="18"/>
  <c r="AI28" i="18"/>
  <c r="D31" i="18"/>
  <c r="C37" i="11"/>
  <c r="B38" i="11" s="1"/>
  <c r="E31" i="18"/>
  <c r="G29" i="18"/>
  <c r="J29" i="18" s="1"/>
  <c r="C29" i="18"/>
  <c r="B29" i="18"/>
  <c r="I29" i="18"/>
  <c r="L29" i="18" s="1"/>
  <c r="H29" i="18"/>
  <c r="K29" i="18" s="1"/>
  <c r="A30" i="18"/>
  <c r="Z29" i="18"/>
  <c r="AJ28" i="18"/>
  <c r="AC28" i="18"/>
  <c r="AE28" i="18" s="1"/>
  <c r="D36" i="11"/>
  <c r="N28" i="18"/>
  <c r="Q28" i="18" s="1"/>
  <c r="T28" i="18" s="1"/>
  <c r="W28" i="18" s="1"/>
  <c r="N29" i="18" l="1"/>
  <c r="Q29" i="18" s="1"/>
  <c r="T29" i="18" s="1"/>
  <c r="W29" i="18" s="1"/>
  <c r="O29" i="18"/>
  <c r="R29" i="18" s="1"/>
  <c r="U29" i="18" s="1"/>
  <c r="X29" i="18" s="1"/>
  <c r="AH29" i="18" s="1"/>
  <c r="M29" i="18"/>
  <c r="P29" i="18" s="1"/>
  <c r="S29" i="18" s="1"/>
  <c r="V29" i="18" s="1"/>
  <c r="AF29" i="18" s="1"/>
  <c r="A31" i="18"/>
  <c r="B30" i="18"/>
  <c r="C30" i="18"/>
  <c r="G30" i="18"/>
  <c r="J30" i="18" s="1"/>
  <c r="I30" i="18"/>
  <c r="L30" i="18" s="1"/>
  <c r="H30" i="18"/>
  <c r="K30" i="18" s="1"/>
  <c r="C38" i="11"/>
  <c r="B39" i="11" s="1"/>
  <c r="AK29" i="18"/>
  <c r="AA30" i="18"/>
  <c r="E32" i="18"/>
  <c r="D37" i="11"/>
  <c r="AI29" i="18"/>
  <c r="Y30" i="18"/>
  <c r="AG28" i="18"/>
  <c r="AB28" i="18"/>
  <c r="AD28" i="18" s="1"/>
  <c r="Z30" i="18"/>
  <c r="AJ29" i="18"/>
  <c r="AC29" i="18"/>
  <c r="AE29" i="18" s="1"/>
  <c r="D32" i="18"/>
  <c r="F30" i="18"/>
  <c r="E36" i="11"/>
  <c r="J36" i="11"/>
  <c r="L36" i="11" s="1"/>
  <c r="N36" i="11" s="1"/>
  <c r="M30" i="18" l="1"/>
  <c r="P30" i="18" s="1"/>
  <c r="S30" i="18" s="1"/>
  <c r="V30" i="18" s="1"/>
  <c r="AF30" i="18" s="1"/>
  <c r="N30" i="18"/>
  <c r="Q30" i="18" s="1"/>
  <c r="T30" i="18" s="1"/>
  <c r="W30" i="18" s="1"/>
  <c r="O30" i="18"/>
  <c r="R30" i="18" s="1"/>
  <c r="U30" i="18" s="1"/>
  <c r="X30" i="18" s="1"/>
  <c r="AH30" i="18" s="1"/>
  <c r="Y31" i="18"/>
  <c r="AI30" i="18"/>
  <c r="E33" i="18"/>
  <c r="D38" i="11"/>
  <c r="D33" i="18"/>
  <c r="AJ30" i="18"/>
  <c r="Z31" i="18"/>
  <c r="AC30" i="18"/>
  <c r="AE30" i="18" s="1"/>
  <c r="E37" i="11"/>
  <c r="J37" i="11"/>
  <c r="L37" i="11" s="1"/>
  <c r="N37" i="11" s="1"/>
  <c r="AK30" i="18"/>
  <c r="AA31" i="18"/>
  <c r="B31" i="18"/>
  <c r="H31" i="18"/>
  <c r="K31" i="18" s="1"/>
  <c r="G31" i="18"/>
  <c r="J31" i="18" s="1"/>
  <c r="C31" i="18"/>
  <c r="A32" i="18"/>
  <c r="I31" i="18"/>
  <c r="L31" i="18" s="1"/>
  <c r="C39" i="11"/>
  <c r="B40" i="11" s="1"/>
  <c r="F31" i="18"/>
  <c r="AG29" i="18"/>
  <c r="AB29" i="18"/>
  <c r="AD29" i="18" s="1"/>
  <c r="N31" i="18" l="1"/>
  <c r="Q31" i="18" s="1"/>
  <c r="T31" i="18" s="1"/>
  <c r="W31" i="18" s="1"/>
  <c r="O31" i="18"/>
  <c r="R31" i="18" s="1"/>
  <c r="U31" i="18" s="1"/>
  <c r="M31" i="18"/>
  <c r="P31" i="18" s="1"/>
  <c r="S31" i="18" s="1"/>
  <c r="V31" i="18" s="1"/>
  <c r="AF31" i="18" s="1"/>
  <c r="C40" i="11"/>
  <c r="B41" i="11" s="1"/>
  <c r="Y32" i="18"/>
  <c r="AI31" i="18"/>
  <c r="D39" i="11"/>
  <c r="AK31" i="18"/>
  <c r="AA32" i="18"/>
  <c r="E38" i="11"/>
  <c r="J38" i="11"/>
  <c r="L38" i="11" s="1"/>
  <c r="N38" i="11" s="1"/>
  <c r="F32" i="18"/>
  <c r="X31" i="18"/>
  <c r="AH31" i="18" s="1"/>
  <c r="H32" i="18"/>
  <c r="K32" i="18" s="1"/>
  <c r="G32" i="18"/>
  <c r="J32" i="18" s="1"/>
  <c r="I32" i="18"/>
  <c r="L32" i="18" s="1"/>
  <c r="C32" i="18"/>
  <c r="B32" i="18"/>
  <c r="A33" i="18"/>
  <c r="Z32" i="18"/>
  <c r="AJ31" i="18"/>
  <c r="AC31" i="18"/>
  <c r="AE31" i="18" s="1"/>
  <c r="D34" i="18"/>
  <c r="E34" i="18"/>
  <c r="AG30" i="18"/>
  <c r="AB30" i="18"/>
  <c r="AD30" i="18" s="1"/>
  <c r="O32" i="18" l="1"/>
  <c r="R32" i="18" s="1"/>
  <c r="U32" i="18" s="1"/>
  <c r="M32" i="18"/>
  <c r="P32" i="18" s="1"/>
  <c r="S32" i="18" s="1"/>
  <c r="V32" i="18" s="1"/>
  <c r="AF32" i="18" s="1"/>
  <c r="N32" i="18"/>
  <c r="Q32" i="18" s="1"/>
  <c r="T32" i="18" s="1"/>
  <c r="W32" i="18" s="1"/>
  <c r="AJ32" i="18"/>
  <c r="Z33" i="18"/>
  <c r="AC32" i="18"/>
  <c r="AE32" i="18" s="1"/>
  <c r="AI32" i="18"/>
  <c r="Y33" i="18"/>
  <c r="C33" i="18"/>
  <c r="I33" i="18"/>
  <c r="L33" i="18" s="1"/>
  <c r="H33" i="18"/>
  <c r="K33" i="18" s="1"/>
  <c r="A34" i="18"/>
  <c r="G33" i="18"/>
  <c r="J33" i="18" s="1"/>
  <c r="B33" i="18"/>
  <c r="AA33" i="18"/>
  <c r="AK32" i="18"/>
  <c r="D40" i="11"/>
  <c r="AG31" i="18"/>
  <c r="AB31" i="18"/>
  <c r="AD31" i="18" s="1"/>
  <c r="D35" i="18"/>
  <c r="X32" i="18"/>
  <c r="AH32" i="18" s="1"/>
  <c r="F33" i="18"/>
  <c r="E39" i="11"/>
  <c r="J39" i="11"/>
  <c r="L39" i="11" s="1"/>
  <c r="N39" i="11" s="1"/>
  <c r="C41" i="11"/>
  <c r="B42" i="11" s="1"/>
  <c r="E35" i="18"/>
  <c r="D41" i="11" l="1"/>
  <c r="N33" i="18"/>
  <c r="Q33" i="18" s="1"/>
  <c r="T33" i="18" s="1"/>
  <c r="W33" i="18" s="1"/>
  <c r="M33" i="18"/>
  <c r="P33" i="18" s="1"/>
  <c r="S33" i="18" s="1"/>
  <c r="V33" i="18" s="1"/>
  <c r="AF33" i="18" s="1"/>
  <c r="O33" i="18"/>
  <c r="R33" i="18" s="1"/>
  <c r="U33" i="18" s="1"/>
  <c r="AA34" i="18"/>
  <c r="AK33" i="18"/>
  <c r="C34" i="18"/>
  <c r="B34" i="18"/>
  <c r="I34" i="18"/>
  <c r="L34" i="18" s="1"/>
  <c r="H34" i="18"/>
  <c r="K34" i="18" s="1"/>
  <c r="G34" i="18"/>
  <c r="J34" i="18" s="1"/>
  <c r="A35" i="18"/>
  <c r="E40" i="11"/>
  <c r="J40" i="11"/>
  <c r="L40" i="11" s="1"/>
  <c r="N40" i="11" s="1"/>
  <c r="Y34" i="18"/>
  <c r="AI33" i="18"/>
  <c r="AJ33" i="18"/>
  <c r="Z34" i="18"/>
  <c r="AC33" i="18"/>
  <c r="AE33" i="18" s="1"/>
  <c r="E41" i="11"/>
  <c r="J41" i="11"/>
  <c r="L41" i="11" s="1"/>
  <c r="N41" i="11" s="1"/>
  <c r="F34" i="18"/>
  <c r="X33" i="18"/>
  <c r="AH33" i="18" s="1"/>
  <c r="D36" i="18"/>
  <c r="AG32" i="18"/>
  <c r="AB32" i="18"/>
  <c r="AD32" i="18" s="1"/>
  <c r="E36" i="18"/>
  <c r="D42" i="11"/>
  <c r="C42" i="11"/>
  <c r="B43" i="11" s="1"/>
  <c r="M34" i="18" l="1"/>
  <c r="P34" i="18" s="1"/>
  <c r="S34" i="18" s="1"/>
  <c r="V34" i="18" s="1"/>
  <c r="AF34" i="18" s="1"/>
  <c r="N34" i="18"/>
  <c r="Q34" i="18" s="1"/>
  <c r="T34" i="18" s="1"/>
  <c r="W34" i="18" s="1"/>
  <c r="O34" i="18"/>
  <c r="R34" i="18" s="1"/>
  <c r="U34" i="18" s="1"/>
  <c r="X34" i="18" s="1"/>
  <c r="AH34" i="18" s="1"/>
  <c r="F35" i="18"/>
  <c r="C43" i="11"/>
  <c r="D43" i="11" s="1"/>
  <c r="E42" i="11"/>
  <c r="J42" i="11"/>
  <c r="L42" i="11" s="1"/>
  <c r="N42" i="11" s="1"/>
  <c r="D37" i="18"/>
  <c r="AJ34" i="18"/>
  <c r="Z35" i="18"/>
  <c r="AC34" i="18"/>
  <c r="AE34" i="18" s="1"/>
  <c r="Y35" i="18"/>
  <c r="AI34" i="18"/>
  <c r="I35" i="18"/>
  <c r="L35" i="18" s="1"/>
  <c r="H35" i="18"/>
  <c r="K35" i="18" s="1"/>
  <c r="G35" i="18"/>
  <c r="J35" i="18" s="1"/>
  <c r="A36" i="18"/>
  <c r="C35" i="18"/>
  <c r="B35" i="18"/>
  <c r="AA35" i="18"/>
  <c r="AK34" i="18"/>
  <c r="E37" i="18"/>
  <c r="AG33" i="18"/>
  <c r="AB33" i="18"/>
  <c r="AD33" i="18" s="1"/>
  <c r="M35" i="18" l="1"/>
  <c r="P35" i="18" s="1"/>
  <c r="S35" i="18" s="1"/>
  <c r="V35" i="18" s="1"/>
  <c r="AF35" i="18" s="1"/>
  <c r="O35" i="18"/>
  <c r="R35" i="18" s="1"/>
  <c r="U35" i="18" s="1"/>
  <c r="N35" i="18"/>
  <c r="Q35" i="18" s="1"/>
  <c r="T35" i="18" s="1"/>
  <c r="W35" i="18" s="1"/>
  <c r="E43" i="11"/>
  <c r="J43" i="11"/>
  <c r="L43" i="11" s="1"/>
  <c r="N43" i="11" s="1"/>
  <c r="B45" i="11" s="1"/>
  <c r="I36" i="18"/>
  <c r="L36" i="18" s="1"/>
  <c r="G36" i="18"/>
  <c r="J36" i="18" s="1"/>
  <c r="C36" i="18"/>
  <c r="B36" i="18"/>
  <c r="H36" i="18"/>
  <c r="K36" i="18" s="1"/>
  <c r="A37" i="18"/>
  <c r="AI35" i="18"/>
  <c r="Y36" i="18"/>
  <c r="AJ35" i="18"/>
  <c r="Z36" i="18"/>
  <c r="AC35" i="18"/>
  <c r="AE35" i="18" s="1"/>
  <c r="X35" i="18"/>
  <c r="AH35" i="18" s="1"/>
  <c r="F36" i="18"/>
  <c r="AG34" i="18"/>
  <c r="AB34" i="18"/>
  <c r="AD34" i="18" s="1"/>
  <c r="AK35" i="18"/>
  <c r="AA36" i="18"/>
  <c r="D38" i="18"/>
  <c r="E38" i="18"/>
  <c r="N36" i="18" l="1"/>
  <c r="Q36" i="18" s="1"/>
  <c r="T36" i="18" s="1"/>
  <c r="W36" i="18" s="1"/>
  <c r="M36" i="18"/>
  <c r="P36" i="18" s="1"/>
  <c r="S36" i="18" s="1"/>
  <c r="V36" i="18" s="1"/>
  <c r="AF36" i="18" s="1"/>
  <c r="O36" i="18"/>
  <c r="R36" i="18" s="1"/>
  <c r="U36" i="18" s="1"/>
  <c r="X36" i="18" s="1"/>
  <c r="AH36" i="18" s="1"/>
  <c r="AK36" i="18"/>
  <c r="AA37" i="18"/>
  <c r="F37" i="18"/>
  <c r="Z37" i="18"/>
  <c r="AJ36" i="18"/>
  <c r="AC36" i="18"/>
  <c r="AE36" i="18" s="1"/>
  <c r="Y37" i="18"/>
  <c r="AI36" i="18"/>
  <c r="G37" i="18"/>
  <c r="J37" i="18" s="1"/>
  <c r="C37" i="18"/>
  <c r="B37" i="18"/>
  <c r="I37" i="18"/>
  <c r="L37" i="18" s="1"/>
  <c r="A38" i="18"/>
  <c r="H37" i="18"/>
  <c r="K37" i="18" s="1"/>
  <c r="D39" i="18"/>
  <c r="F22" i="21"/>
  <c r="E22" i="21"/>
  <c r="AG35" i="18"/>
  <c r="AB35" i="18"/>
  <c r="AD35" i="18" s="1"/>
  <c r="E39" i="18"/>
  <c r="N37" i="18" l="1"/>
  <c r="Q37" i="18" s="1"/>
  <c r="T37" i="18" s="1"/>
  <c r="W37" i="18" s="1"/>
  <c r="M37" i="18"/>
  <c r="P37" i="18" s="1"/>
  <c r="S37" i="18" s="1"/>
  <c r="V37" i="18" s="1"/>
  <c r="AF37" i="18" s="1"/>
  <c r="O37" i="18"/>
  <c r="R37" i="18" s="1"/>
  <c r="U37" i="18" s="1"/>
  <c r="D40" i="18"/>
  <c r="A39" i="18"/>
  <c r="I38" i="18"/>
  <c r="L38" i="18" s="1"/>
  <c r="H38" i="18"/>
  <c r="K38" i="18" s="1"/>
  <c r="G38" i="18"/>
  <c r="J38" i="18" s="1"/>
  <c r="B38" i="18"/>
  <c r="C38" i="18"/>
  <c r="F38" i="18"/>
  <c r="X37" i="18"/>
  <c r="AH37" i="18" s="1"/>
  <c r="AA38" i="18"/>
  <c r="AK37" i="18"/>
  <c r="AG36" i="18"/>
  <c r="AB36" i="18"/>
  <c r="AD36" i="18" s="1"/>
  <c r="AI37" i="18"/>
  <c r="Y38" i="18"/>
  <c r="Z38" i="18"/>
  <c r="AJ37" i="18"/>
  <c r="AC37" i="18"/>
  <c r="AE37" i="18" s="1"/>
  <c r="E40" i="18"/>
  <c r="M38" i="18" l="1"/>
  <c r="P38" i="18" s="1"/>
  <c r="S38" i="18" s="1"/>
  <c r="V38" i="18" s="1"/>
  <c r="AF38" i="18" s="1"/>
  <c r="N38" i="18"/>
  <c r="Q38" i="18" s="1"/>
  <c r="T38" i="18" s="1"/>
  <c r="W38" i="18" s="1"/>
  <c r="O38" i="18"/>
  <c r="R38" i="18" s="1"/>
  <c r="U38" i="18" s="1"/>
  <c r="X38" i="18" s="1"/>
  <c r="AH38" i="18" s="1"/>
  <c r="E41" i="18"/>
  <c r="Y39" i="18"/>
  <c r="AI38" i="18"/>
  <c r="D41" i="18"/>
  <c r="AK38" i="18"/>
  <c r="AA39" i="18"/>
  <c r="F39" i="18"/>
  <c r="AG37" i="18"/>
  <c r="AB37" i="18"/>
  <c r="AD37" i="18" s="1"/>
  <c r="AJ38" i="18"/>
  <c r="Z39" i="18"/>
  <c r="AC38" i="18"/>
  <c r="AE38" i="18" s="1"/>
  <c r="A40" i="18"/>
  <c r="I39" i="18"/>
  <c r="L39" i="18" s="1"/>
  <c r="B39" i="18"/>
  <c r="G39" i="18"/>
  <c r="J39" i="18" s="1"/>
  <c r="H39" i="18"/>
  <c r="K39" i="18" s="1"/>
  <c r="C39" i="18"/>
  <c r="N39" i="18" l="1"/>
  <c r="Q39" i="18" s="1"/>
  <c r="T39" i="18" s="1"/>
  <c r="W39" i="18" s="1"/>
  <c r="O39" i="18"/>
  <c r="R39" i="18" s="1"/>
  <c r="U39" i="18" s="1"/>
  <c r="M39" i="18"/>
  <c r="P39" i="18" s="1"/>
  <c r="S39" i="18" s="1"/>
  <c r="V39" i="18" s="1"/>
  <c r="AF39" i="18" s="1"/>
  <c r="H40" i="18"/>
  <c r="K40" i="18" s="1"/>
  <c r="G40" i="18"/>
  <c r="J40" i="18" s="1"/>
  <c r="C40" i="18"/>
  <c r="B40" i="18"/>
  <c r="I40" i="18"/>
  <c r="L40" i="18" s="1"/>
  <c r="A41" i="18"/>
  <c r="F40" i="18"/>
  <c r="X39" i="18"/>
  <c r="AH39" i="18" s="1"/>
  <c r="AK39" i="18"/>
  <c r="AA40" i="18"/>
  <c r="AJ39" i="18"/>
  <c r="Z40" i="18"/>
  <c r="AC39" i="18"/>
  <c r="AE39" i="18" s="1"/>
  <c r="D42" i="18"/>
  <c r="AI39" i="18"/>
  <c r="Y40" i="18"/>
  <c r="E42" i="18"/>
  <c r="AG38" i="18"/>
  <c r="AB38" i="18"/>
  <c r="AD38" i="18" s="1"/>
  <c r="O40" i="18" l="1"/>
  <c r="R40" i="18" s="1"/>
  <c r="U40" i="18" s="1"/>
  <c r="M40" i="18"/>
  <c r="P40" i="18" s="1"/>
  <c r="S40" i="18" s="1"/>
  <c r="V40" i="18" s="1"/>
  <c r="AF40" i="18" s="1"/>
  <c r="N40" i="18"/>
  <c r="Q40" i="18" s="1"/>
  <c r="T40" i="18" s="1"/>
  <c r="W40" i="18" s="1"/>
  <c r="AI40" i="18"/>
  <c r="Y41" i="18"/>
  <c r="D43" i="18"/>
  <c r="AJ40" i="18"/>
  <c r="Z41" i="18"/>
  <c r="AC40" i="18"/>
  <c r="AE40" i="18" s="1"/>
  <c r="E43" i="18"/>
  <c r="AA41" i="18"/>
  <c r="AK40" i="18"/>
  <c r="X40" i="18"/>
  <c r="AH40" i="18" s="1"/>
  <c r="F41" i="18"/>
  <c r="A42" i="18"/>
  <c r="I41" i="18"/>
  <c r="L41" i="18" s="1"/>
  <c r="C41" i="18"/>
  <c r="B41" i="18"/>
  <c r="H41" i="18"/>
  <c r="K41" i="18" s="1"/>
  <c r="G41" i="18"/>
  <c r="J41" i="18" s="1"/>
  <c r="AG39" i="18"/>
  <c r="AB39" i="18"/>
  <c r="AD39" i="18" s="1"/>
  <c r="M41" i="18" l="1"/>
  <c r="P41" i="18" s="1"/>
  <c r="S41" i="18" s="1"/>
  <c r="V41" i="18" s="1"/>
  <c r="AF41" i="18" s="1"/>
  <c r="N41" i="18"/>
  <c r="Q41" i="18" s="1"/>
  <c r="T41" i="18" s="1"/>
  <c r="W41" i="18" s="1"/>
  <c r="O41" i="18"/>
  <c r="R41" i="18" s="1"/>
  <c r="U41" i="18" s="1"/>
  <c r="X41" i="18" s="1"/>
  <c r="AH41" i="18" s="1"/>
  <c r="F42" i="18"/>
  <c r="AK41" i="18"/>
  <c r="AA42" i="18"/>
  <c r="E44" i="18"/>
  <c r="Z42" i="18"/>
  <c r="AJ41" i="18"/>
  <c r="AC41" i="18"/>
  <c r="AE41" i="18" s="1"/>
  <c r="B42" i="18"/>
  <c r="H42" i="18"/>
  <c r="K42" i="18" s="1"/>
  <c r="G42" i="18"/>
  <c r="J42" i="18" s="1"/>
  <c r="C42" i="18"/>
  <c r="A43" i="18"/>
  <c r="I42" i="18"/>
  <c r="L42" i="18" s="1"/>
  <c r="D44" i="18"/>
  <c r="Y42" i="18"/>
  <c r="AI41" i="18"/>
  <c r="AG40" i="18"/>
  <c r="AB40" i="18"/>
  <c r="AD40" i="18" s="1"/>
  <c r="N42" i="18" l="1"/>
  <c r="Q42" i="18" s="1"/>
  <c r="T42" i="18" s="1"/>
  <c r="W42" i="18" s="1"/>
  <c r="O42" i="18"/>
  <c r="R42" i="18" s="1"/>
  <c r="U42" i="18" s="1"/>
  <c r="M42" i="18"/>
  <c r="P42" i="18" s="1"/>
  <c r="S42" i="18" s="1"/>
  <c r="V42" i="18" s="1"/>
  <c r="AF42" i="18" s="1"/>
  <c r="D45" i="18"/>
  <c r="F43" i="18"/>
  <c r="X42" i="18"/>
  <c r="AH42" i="18" s="1"/>
  <c r="E45" i="18"/>
  <c r="AG41" i="18"/>
  <c r="AB41" i="18"/>
  <c r="AD41" i="18" s="1"/>
  <c r="Y43" i="18"/>
  <c r="AI42" i="18"/>
  <c r="I43" i="18"/>
  <c r="L43" i="18" s="1"/>
  <c r="H43" i="18"/>
  <c r="K43" i="18" s="1"/>
  <c r="B43" i="18"/>
  <c r="A44" i="18"/>
  <c r="G43" i="18"/>
  <c r="J43" i="18" s="1"/>
  <c r="C43" i="18"/>
  <c r="Z43" i="18"/>
  <c r="AJ42" i="18"/>
  <c r="AC42" i="18"/>
  <c r="AE42" i="18" s="1"/>
  <c r="AA43" i="18"/>
  <c r="AK42" i="18"/>
  <c r="M43" i="18" l="1"/>
  <c r="P43" i="18" s="1"/>
  <c r="S43" i="18" s="1"/>
  <c r="V43" i="18" s="1"/>
  <c r="AF43" i="18" s="1"/>
  <c r="N43" i="18"/>
  <c r="Q43" i="18" s="1"/>
  <c r="T43" i="18" s="1"/>
  <c r="W43" i="18" s="1"/>
  <c r="O43" i="18"/>
  <c r="R43" i="18" s="1"/>
  <c r="U43" i="18" s="1"/>
  <c r="AJ43" i="18"/>
  <c r="Z44" i="18"/>
  <c r="AC43" i="18"/>
  <c r="AE43" i="18" s="1"/>
  <c r="AK43" i="18"/>
  <c r="AA44" i="18"/>
  <c r="Y44" i="18"/>
  <c r="AI43" i="18"/>
  <c r="D46" i="18"/>
  <c r="E46" i="18"/>
  <c r="F44" i="18"/>
  <c r="X43" i="18"/>
  <c r="AH43" i="18" s="1"/>
  <c r="A45" i="18"/>
  <c r="B44" i="18"/>
  <c r="I44" i="18"/>
  <c r="L44" i="18" s="1"/>
  <c r="H44" i="18"/>
  <c r="K44" i="18" s="1"/>
  <c r="G44" i="18"/>
  <c r="J44" i="18" s="1"/>
  <c r="C44" i="18"/>
  <c r="AG42" i="18"/>
  <c r="AB42" i="18"/>
  <c r="AD42" i="18" s="1"/>
  <c r="M44" i="18" l="1"/>
  <c r="P44" i="18" s="1"/>
  <c r="S44" i="18" s="1"/>
  <c r="V44" i="18" s="1"/>
  <c r="AF44" i="18" s="1"/>
  <c r="N44" i="18"/>
  <c r="Q44" i="18" s="1"/>
  <c r="T44" i="18" s="1"/>
  <c r="W44" i="18" s="1"/>
  <c r="O44" i="18"/>
  <c r="R44" i="18" s="1"/>
  <c r="U44" i="18" s="1"/>
  <c r="G45" i="18"/>
  <c r="J45" i="18" s="1"/>
  <c r="C45" i="18"/>
  <c r="B45" i="18"/>
  <c r="I45" i="18"/>
  <c r="L45" i="18" s="1"/>
  <c r="H45" i="18"/>
  <c r="K45" i="18" s="1"/>
  <c r="A46" i="18"/>
  <c r="X44" i="18"/>
  <c r="AH44" i="18" s="1"/>
  <c r="F45" i="18"/>
  <c r="E47" i="18"/>
  <c r="D47" i="18"/>
  <c r="AI44" i="18"/>
  <c r="Y45" i="18"/>
  <c r="AK44" i="18"/>
  <c r="AA45" i="18"/>
  <c r="AJ44" i="18"/>
  <c r="Z45" i="18"/>
  <c r="AC44" i="18"/>
  <c r="AE44" i="18" s="1"/>
  <c r="AG43" i="18"/>
  <c r="AB43" i="18"/>
  <c r="AD43" i="18" s="1"/>
  <c r="O45" i="18" l="1"/>
  <c r="R45" i="18" s="1"/>
  <c r="U45" i="18" s="1"/>
  <c r="N45" i="18"/>
  <c r="Q45" i="18" s="1"/>
  <c r="T45" i="18" s="1"/>
  <c r="W45" i="18" s="1"/>
  <c r="M45" i="18"/>
  <c r="P45" i="18" s="1"/>
  <c r="S45" i="18" s="1"/>
  <c r="V45" i="18" s="1"/>
  <c r="AF45" i="18" s="1"/>
  <c r="AI45" i="18"/>
  <c r="Y46" i="18"/>
  <c r="AK45" i="18"/>
  <c r="AA46" i="18"/>
  <c r="E48" i="18"/>
  <c r="Z46" i="18"/>
  <c r="AJ45" i="18"/>
  <c r="AC45" i="18"/>
  <c r="AE45" i="18" s="1"/>
  <c r="D48" i="18"/>
  <c r="F46" i="18"/>
  <c r="X45" i="18"/>
  <c r="AH45" i="18" s="1"/>
  <c r="A47" i="18"/>
  <c r="I46" i="18"/>
  <c r="L46" i="18" s="1"/>
  <c r="G46" i="18"/>
  <c r="J46" i="18" s="1"/>
  <c r="C46" i="18"/>
  <c r="H46" i="18"/>
  <c r="K46" i="18" s="1"/>
  <c r="B46" i="18"/>
  <c r="AG44" i="18"/>
  <c r="AB44" i="18"/>
  <c r="AD44" i="18" s="1"/>
  <c r="N46" i="18" l="1"/>
  <c r="Q46" i="18" s="1"/>
  <c r="T46" i="18" s="1"/>
  <c r="W46" i="18" s="1"/>
  <c r="M46" i="18"/>
  <c r="P46" i="18" s="1"/>
  <c r="S46" i="18" s="1"/>
  <c r="V46" i="18" s="1"/>
  <c r="AF46" i="18" s="1"/>
  <c r="O46" i="18"/>
  <c r="R46" i="18" s="1"/>
  <c r="U46" i="18" s="1"/>
  <c r="B47" i="18"/>
  <c r="H47" i="18"/>
  <c r="K47" i="18" s="1"/>
  <c r="I47" i="18"/>
  <c r="L47" i="18" s="1"/>
  <c r="G47" i="18"/>
  <c r="J47" i="18" s="1"/>
  <c r="C47" i="18"/>
  <c r="A48" i="18"/>
  <c r="X46" i="18"/>
  <c r="AH46" i="18" s="1"/>
  <c r="F47" i="18"/>
  <c r="D49" i="18"/>
  <c r="E49" i="18"/>
  <c r="AI46" i="18"/>
  <c r="Y47" i="18"/>
  <c r="Z47" i="18"/>
  <c r="AJ46" i="18"/>
  <c r="AC46" i="18"/>
  <c r="AE46" i="18" s="1"/>
  <c r="AK46" i="18"/>
  <c r="AA47" i="18"/>
  <c r="AG45" i="18"/>
  <c r="AB45" i="18"/>
  <c r="AD45" i="18" s="1"/>
  <c r="O47" i="18" l="1"/>
  <c r="R47" i="18" s="1"/>
  <c r="U47" i="18" s="1"/>
  <c r="M47" i="18"/>
  <c r="P47" i="18" s="1"/>
  <c r="S47" i="18" s="1"/>
  <c r="V47" i="18" s="1"/>
  <c r="AF47" i="18" s="1"/>
  <c r="N47" i="18"/>
  <c r="Q47" i="18" s="1"/>
  <c r="T47" i="18" s="1"/>
  <c r="W47" i="18" s="1"/>
  <c r="AA48" i="18"/>
  <c r="AK47" i="18"/>
  <c r="Z48" i="18"/>
  <c r="AJ47" i="18"/>
  <c r="AC47" i="18"/>
  <c r="AE47" i="18" s="1"/>
  <c r="AI47" i="18"/>
  <c r="Y48" i="18"/>
  <c r="E50" i="18"/>
  <c r="D50" i="18"/>
  <c r="X47" i="18"/>
  <c r="AH47" i="18" s="1"/>
  <c r="F48" i="18"/>
  <c r="H48" i="18"/>
  <c r="K48" i="18" s="1"/>
  <c r="C48" i="18"/>
  <c r="B48" i="18"/>
  <c r="I48" i="18"/>
  <c r="L48" i="18" s="1"/>
  <c r="A49" i="18"/>
  <c r="G48" i="18"/>
  <c r="J48" i="18" s="1"/>
  <c r="AG46" i="18"/>
  <c r="AB46" i="18"/>
  <c r="AD46" i="18" s="1"/>
  <c r="M48" i="18" l="1"/>
  <c r="P48" i="18" s="1"/>
  <c r="S48" i="18" s="1"/>
  <c r="V48" i="18" s="1"/>
  <c r="AF48" i="18" s="1"/>
  <c r="O48" i="18"/>
  <c r="R48" i="18" s="1"/>
  <c r="U48" i="18" s="1"/>
  <c r="N48" i="18"/>
  <c r="Q48" i="18" s="1"/>
  <c r="T48" i="18" s="1"/>
  <c r="W48" i="18" s="1"/>
  <c r="A50" i="18"/>
  <c r="H49" i="18"/>
  <c r="K49" i="18" s="1"/>
  <c r="G49" i="18"/>
  <c r="J49" i="18" s="1"/>
  <c r="I49" i="18"/>
  <c r="L49" i="18" s="1"/>
  <c r="C49" i="18"/>
  <c r="B49" i="18"/>
  <c r="E51" i="18"/>
  <c r="AA49" i="18"/>
  <c r="AK48" i="18"/>
  <c r="AG47" i="18"/>
  <c r="AB47" i="18"/>
  <c r="AD47" i="18" s="1"/>
  <c r="F49" i="18"/>
  <c r="X48" i="18"/>
  <c r="AH48" i="18" s="1"/>
  <c r="D51" i="18"/>
  <c r="AI48" i="18"/>
  <c r="Y49" i="18"/>
  <c r="AJ48" i="18"/>
  <c r="Z49" i="18"/>
  <c r="AC48" i="18"/>
  <c r="AE48" i="18" s="1"/>
  <c r="O49" i="18" l="1"/>
  <c r="R49" i="18" s="1"/>
  <c r="U49" i="18" s="1"/>
  <c r="M49" i="18"/>
  <c r="P49" i="18" s="1"/>
  <c r="S49" i="18" s="1"/>
  <c r="V49" i="18" s="1"/>
  <c r="AF49" i="18" s="1"/>
  <c r="N49" i="18"/>
  <c r="Q49" i="18" s="1"/>
  <c r="T49" i="18" s="1"/>
  <c r="W49" i="18" s="1"/>
  <c r="AI49" i="18"/>
  <c r="Y50" i="18"/>
  <c r="AJ49" i="18"/>
  <c r="Z50" i="18"/>
  <c r="AC49" i="18"/>
  <c r="AE49" i="18" s="1"/>
  <c r="D52" i="18"/>
  <c r="X49" i="18"/>
  <c r="AH49" i="18" s="1"/>
  <c r="F50" i="18"/>
  <c r="E52" i="18"/>
  <c r="AG48" i="18"/>
  <c r="AB48" i="18"/>
  <c r="AD48" i="18" s="1"/>
  <c r="AA50" i="18"/>
  <c r="AK49" i="18"/>
  <c r="B50" i="18"/>
  <c r="C50" i="18"/>
  <c r="A51" i="18"/>
  <c r="I50" i="18"/>
  <c r="L50" i="18" s="1"/>
  <c r="G50" i="18"/>
  <c r="J50" i="18" s="1"/>
  <c r="H50" i="18"/>
  <c r="K50" i="18" s="1"/>
  <c r="N50" i="18" l="1"/>
  <c r="Q50" i="18" s="1"/>
  <c r="T50" i="18" s="1"/>
  <c r="W50" i="18" s="1"/>
  <c r="M50" i="18"/>
  <c r="P50" i="18" s="1"/>
  <c r="S50" i="18" s="1"/>
  <c r="V50" i="18" s="1"/>
  <c r="AF50" i="18" s="1"/>
  <c r="O50" i="18"/>
  <c r="R50" i="18" s="1"/>
  <c r="U50" i="18" s="1"/>
  <c r="X50" i="18" s="1"/>
  <c r="AH50" i="18" s="1"/>
  <c r="F51" i="18"/>
  <c r="I51" i="18"/>
  <c r="L51" i="18" s="1"/>
  <c r="C51" i="18"/>
  <c r="B51" i="18"/>
  <c r="H51" i="18"/>
  <c r="K51" i="18" s="1"/>
  <c r="G51" i="18"/>
  <c r="J51" i="18" s="1"/>
  <c r="A52" i="18"/>
  <c r="AA51" i="18"/>
  <c r="AK50" i="18"/>
  <c r="E53" i="18"/>
  <c r="D53" i="18"/>
  <c r="Z51" i="18"/>
  <c r="AJ50" i="18"/>
  <c r="AC50" i="18"/>
  <c r="AE50" i="18" s="1"/>
  <c r="Y51" i="18"/>
  <c r="AI50" i="18"/>
  <c r="AG49" i="18"/>
  <c r="AB49" i="18"/>
  <c r="AD49" i="18" s="1"/>
  <c r="M51" i="18" l="1"/>
  <c r="P51" i="18" s="1"/>
  <c r="S51" i="18" s="1"/>
  <c r="V51" i="18" s="1"/>
  <c r="AF51" i="18" s="1"/>
  <c r="N51" i="18"/>
  <c r="Q51" i="18" s="1"/>
  <c r="T51" i="18" s="1"/>
  <c r="W51" i="18" s="1"/>
  <c r="O51" i="18"/>
  <c r="R51" i="18" s="1"/>
  <c r="U51" i="18" s="1"/>
  <c r="AI51" i="18"/>
  <c r="Y52" i="18"/>
  <c r="E54" i="18"/>
  <c r="AK51" i="18"/>
  <c r="AA52" i="18"/>
  <c r="I52" i="18"/>
  <c r="L52" i="18" s="1"/>
  <c r="H52" i="18"/>
  <c r="K52" i="18" s="1"/>
  <c r="G52" i="18"/>
  <c r="J52" i="18" s="1"/>
  <c r="A53" i="18"/>
  <c r="B52" i="18"/>
  <c r="C52" i="18"/>
  <c r="D54" i="18"/>
  <c r="F52" i="18"/>
  <c r="X51" i="18"/>
  <c r="AH51" i="18" s="1"/>
  <c r="Z52" i="18"/>
  <c r="AJ51" i="18"/>
  <c r="AC51" i="18"/>
  <c r="AE51" i="18" s="1"/>
  <c r="AG50" i="18"/>
  <c r="AB50" i="18"/>
  <c r="AD50" i="18" s="1"/>
  <c r="N52" i="18" l="1"/>
  <c r="Q52" i="18" s="1"/>
  <c r="T52" i="18" s="1"/>
  <c r="W52" i="18" s="1"/>
  <c r="O52" i="18"/>
  <c r="R52" i="18" s="1"/>
  <c r="U52" i="18" s="1"/>
  <c r="M52" i="18"/>
  <c r="P52" i="18" s="1"/>
  <c r="S52" i="18" s="1"/>
  <c r="V52" i="18" s="1"/>
  <c r="AF52" i="18" s="1"/>
  <c r="AJ52" i="18"/>
  <c r="Z53" i="18"/>
  <c r="AC52" i="18"/>
  <c r="AE52" i="18" s="1"/>
  <c r="X52" i="18"/>
  <c r="AH52" i="18" s="1"/>
  <c r="F53" i="18"/>
  <c r="D55" i="18"/>
  <c r="C53" i="18"/>
  <c r="B53" i="18"/>
  <c r="I53" i="18"/>
  <c r="L53" i="18" s="1"/>
  <c r="G53" i="18"/>
  <c r="J53" i="18" s="1"/>
  <c r="H53" i="18"/>
  <c r="K53" i="18" s="1"/>
  <c r="A54" i="18"/>
  <c r="AK52" i="18"/>
  <c r="AA53" i="18"/>
  <c r="E55" i="18"/>
  <c r="AI52" i="18"/>
  <c r="Y53" i="18"/>
  <c r="AG51" i="18"/>
  <c r="AB51" i="18"/>
  <c r="AD51" i="18" s="1"/>
  <c r="N53" i="18" l="1"/>
  <c r="Q53" i="18" s="1"/>
  <c r="T53" i="18" s="1"/>
  <c r="W53" i="18" s="1"/>
  <c r="O53" i="18"/>
  <c r="R53" i="18" s="1"/>
  <c r="U53" i="18" s="1"/>
  <c r="M53" i="18"/>
  <c r="P53" i="18" s="1"/>
  <c r="S53" i="18" s="1"/>
  <c r="V53" i="18" s="1"/>
  <c r="AF53" i="18" s="1"/>
  <c r="E56" i="18"/>
  <c r="A55" i="18"/>
  <c r="I54" i="18"/>
  <c r="L54" i="18" s="1"/>
  <c r="H54" i="18"/>
  <c r="K54" i="18" s="1"/>
  <c r="G54" i="18"/>
  <c r="J54" i="18" s="1"/>
  <c r="B54" i="18"/>
  <c r="C54" i="18"/>
  <c r="Z54" i="18"/>
  <c r="AJ53" i="18"/>
  <c r="AC53" i="18"/>
  <c r="AE53" i="18" s="1"/>
  <c r="AG52" i="18"/>
  <c r="AB52" i="18"/>
  <c r="AD52" i="18" s="1"/>
  <c r="Y54" i="18"/>
  <c r="AI53" i="18"/>
  <c r="AA54" i="18"/>
  <c r="AK53" i="18"/>
  <c r="D56" i="18"/>
  <c r="X53" i="18"/>
  <c r="AH53" i="18" s="1"/>
  <c r="F54" i="18"/>
  <c r="M54" i="18" l="1"/>
  <c r="P54" i="18" s="1"/>
  <c r="S54" i="18" s="1"/>
  <c r="V54" i="18" s="1"/>
  <c r="AF54" i="18" s="1"/>
  <c r="N54" i="18"/>
  <c r="Q54" i="18" s="1"/>
  <c r="T54" i="18" s="1"/>
  <c r="W54" i="18" s="1"/>
  <c r="O54" i="18"/>
  <c r="R54" i="18" s="1"/>
  <c r="U54" i="18" s="1"/>
  <c r="X54" i="18" s="1"/>
  <c r="AH54" i="18" s="1"/>
  <c r="AK54" i="18"/>
  <c r="AA55" i="18"/>
  <c r="F55" i="18"/>
  <c r="D57" i="18"/>
  <c r="Y55" i="18"/>
  <c r="AI54" i="18"/>
  <c r="A56" i="18"/>
  <c r="I55" i="18"/>
  <c r="L55" i="18" s="1"/>
  <c r="G55" i="18"/>
  <c r="J55" i="18" s="1"/>
  <c r="C55" i="18"/>
  <c r="H55" i="18"/>
  <c r="K55" i="18" s="1"/>
  <c r="B55" i="18"/>
  <c r="AG53" i="18"/>
  <c r="AB53" i="18"/>
  <c r="AD53" i="18" s="1"/>
  <c r="Z55" i="18"/>
  <c r="AJ54" i="18"/>
  <c r="AC54" i="18"/>
  <c r="AE54" i="18" s="1"/>
  <c r="E57" i="18"/>
  <c r="N55" i="18" l="1"/>
  <c r="Q55" i="18" s="1"/>
  <c r="T55" i="18" s="1"/>
  <c r="W55" i="18" s="1"/>
  <c r="M55" i="18"/>
  <c r="P55" i="18" s="1"/>
  <c r="S55" i="18" s="1"/>
  <c r="V55" i="18" s="1"/>
  <c r="AF55" i="18" s="1"/>
  <c r="O55" i="18"/>
  <c r="R55" i="18" s="1"/>
  <c r="U55" i="18" s="1"/>
  <c r="E58" i="18"/>
  <c r="Y56" i="18"/>
  <c r="AI55" i="18"/>
  <c r="X55" i="18"/>
  <c r="AH55" i="18" s="1"/>
  <c r="F56" i="18"/>
  <c r="AG54" i="18"/>
  <c r="AB54" i="18"/>
  <c r="AD54" i="18" s="1"/>
  <c r="AJ55" i="18"/>
  <c r="Z56" i="18"/>
  <c r="AC55" i="18"/>
  <c r="AE55" i="18" s="1"/>
  <c r="C56" i="18"/>
  <c r="G56" i="18"/>
  <c r="J56" i="18" s="1"/>
  <c r="B56" i="18"/>
  <c r="I56" i="18"/>
  <c r="L56" i="18" s="1"/>
  <c r="H56" i="18"/>
  <c r="K56" i="18" s="1"/>
  <c r="A57" i="18"/>
  <c r="D58" i="18"/>
  <c r="AK55" i="18"/>
  <c r="AA56" i="18"/>
  <c r="O56" i="18" l="1"/>
  <c r="R56" i="18" s="1"/>
  <c r="U56" i="18" s="1"/>
  <c r="M56" i="18"/>
  <c r="P56" i="18" s="1"/>
  <c r="S56" i="18" s="1"/>
  <c r="V56" i="18" s="1"/>
  <c r="AF56" i="18" s="1"/>
  <c r="N56" i="18"/>
  <c r="Q56" i="18" s="1"/>
  <c r="T56" i="18" s="1"/>
  <c r="W56" i="18" s="1"/>
  <c r="D59" i="18"/>
  <c r="A58" i="18"/>
  <c r="G57" i="18"/>
  <c r="J57" i="18" s="1"/>
  <c r="I57" i="18"/>
  <c r="L57" i="18" s="1"/>
  <c r="H57" i="18"/>
  <c r="K57" i="18" s="1"/>
  <c r="C57" i="18"/>
  <c r="B57" i="18"/>
  <c r="AJ56" i="18"/>
  <c r="Z57" i="18"/>
  <c r="AC56" i="18"/>
  <c r="AE56" i="18" s="1"/>
  <c r="AI56" i="18"/>
  <c r="Y57" i="18"/>
  <c r="AG55" i="18"/>
  <c r="AB55" i="18"/>
  <c r="AD55" i="18" s="1"/>
  <c r="AK56" i="18"/>
  <c r="AA57" i="18"/>
  <c r="F57" i="18"/>
  <c r="X56" i="18"/>
  <c r="AH56" i="18" s="1"/>
  <c r="E59" i="18"/>
  <c r="O57" i="18" l="1"/>
  <c r="R57" i="18" s="1"/>
  <c r="U57" i="18" s="1"/>
  <c r="N57" i="18"/>
  <c r="Q57" i="18" s="1"/>
  <c r="T57" i="18" s="1"/>
  <c r="W57" i="18" s="1"/>
  <c r="M57" i="18"/>
  <c r="P57" i="18" s="1"/>
  <c r="S57" i="18" s="1"/>
  <c r="V57" i="18" s="1"/>
  <c r="AF57" i="18" s="1"/>
  <c r="D60" i="18"/>
  <c r="AI57" i="18"/>
  <c r="Y58" i="18"/>
  <c r="Z58" i="18"/>
  <c r="AJ57" i="18"/>
  <c r="AC57" i="18"/>
  <c r="AE57" i="18" s="1"/>
  <c r="E60" i="18"/>
  <c r="F58" i="18"/>
  <c r="X57" i="18"/>
  <c r="AH57" i="18" s="1"/>
  <c r="AK57" i="18"/>
  <c r="AA58" i="18"/>
  <c r="A59" i="18"/>
  <c r="G58" i="18"/>
  <c r="J58" i="18" s="1"/>
  <c r="B58" i="18"/>
  <c r="C58" i="18"/>
  <c r="I58" i="18"/>
  <c r="L58" i="18" s="1"/>
  <c r="H58" i="18"/>
  <c r="K58" i="18" s="1"/>
  <c r="AG56" i="18"/>
  <c r="AB56" i="18"/>
  <c r="AD56" i="18" s="1"/>
  <c r="N58" i="18" l="1"/>
  <c r="Q58" i="18" s="1"/>
  <c r="T58" i="18" s="1"/>
  <c r="W58" i="18" s="1"/>
  <c r="M58" i="18"/>
  <c r="P58" i="18" s="1"/>
  <c r="S58" i="18" s="1"/>
  <c r="V58" i="18" s="1"/>
  <c r="AF58" i="18" s="1"/>
  <c r="O58" i="18"/>
  <c r="R58" i="18" s="1"/>
  <c r="U58" i="18" s="1"/>
  <c r="B59" i="18"/>
  <c r="I59" i="18"/>
  <c r="L59" i="18" s="1"/>
  <c r="H59" i="18"/>
  <c r="K59" i="18" s="1"/>
  <c r="G59" i="18"/>
  <c r="J59" i="18" s="1"/>
  <c r="C59" i="18"/>
  <c r="A60" i="18"/>
  <c r="AA59" i="18"/>
  <c r="AK58" i="18"/>
  <c r="X58" i="18"/>
  <c r="AH58" i="18" s="1"/>
  <c r="F59" i="18"/>
  <c r="E61" i="18"/>
  <c r="AI58" i="18"/>
  <c r="Y59" i="18"/>
  <c r="Z59" i="18"/>
  <c r="AJ58" i="18"/>
  <c r="AC58" i="18"/>
  <c r="AE58" i="18" s="1"/>
  <c r="D61" i="18"/>
  <c r="AG57" i="18"/>
  <c r="AB57" i="18"/>
  <c r="AD57" i="18" s="1"/>
  <c r="M59" i="18" l="1"/>
  <c r="P59" i="18" s="1"/>
  <c r="S59" i="18" s="1"/>
  <c r="V59" i="18" s="1"/>
  <c r="AF59" i="18" s="1"/>
  <c r="N59" i="18"/>
  <c r="Q59" i="18" s="1"/>
  <c r="T59" i="18" s="1"/>
  <c r="W59" i="18" s="1"/>
  <c r="O59" i="18"/>
  <c r="R59" i="18" s="1"/>
  <c r="U59" i="18" s="1"/>
  <c r="X59" i="18" s="1"/>
  <c r="AH59" i="18" s="1"/>
  <c r="AI59" i="18"/>
  <c r="Y60" i="18"/>
  <c r="F60" i="18"/>
  <c r="D62" i="18"/>
  <c r="AA60" i="18"/>
  <c r="AK59" i="18"/>
  <c r="AG58" i="18"/>
  <c r="AB58" i="18"/>
  <c r="AD58" i="18" s="1"/>
  <c r="Z60" i="18"/>
  <c r="AJ59" i="18"/>
  <c r="AC59" i="18"/>
  <c r="AE59" i="18" s="1"/>
  <c r="E62" i="18"/>
  <c r="H60" i="18"/>
  <c r="K60" i="18" s="1"/>
  <c r="G60" i="18"/>
  <c r="J60" i="18" s="1"/>
  <c r="I60" i="18"/>
  <c r="L60" i="18" s="1"/>
  <c r="C60" i="18"/>
  <c r="A61" i="18"/>
  <c r="B60" i="18"/>
  <c r="O60" i="18" l="1"/>
  <c r="R60" i="18" s="1"/>
  <c r="U60" i="18" s="1"/>
  <c r="N60" i="18"/>
  <c r="Q60" i="18" s="1"/>
  <c r="T60" i="18" s="1"/>
  <c r="W60" i="18" s="1"/>
  <c r="M60" i="18"/>
  <c r="P60" i="18" s="1"/>
  <c r="S60" i="18" s="1"/>
  <c r="V60" i="18" s="1"/>
  <c r="AF60" i="18" s="1"/>
  <c r="A62" i="18"/>
  <c r="H61" i="18"/>
  <c r="K61" i="18" s="1"/>
  <c r="C61" i="18"/>
  <c r="B61" i="18"/>
  <c r="I61" i="18"/>
  <c r="L61" i="18" s="1"/>
  <c r="G61" i="18"/>
  <c r="J61" i="18" s="1"/>
  <c r="E63" i="18"/>
  <c r="AJ60" i="18"/>
  <c r="Z61" i="18"/>
  <c r="AC60" i="18"/>
  <c r="AE60" i="18" s="1"/>
  <c r="AA61" i="18"/>
  <c r="AK60" i="18"/>
  <c r="X60" i="18"/>
  <c r="AH60" i="18" s="1"/>
  <c r="F61" i="18"/>
  <c r="AI60" i="18"/>
  <c r="Y61" i="18"/>
  <c r="AG59" i="18"/>
  <c r="AB59" i="18"/>
  <c r="AD59" i="18" s="1"/>
  <c r="D63" i="18"/>
  <c r="O61" i="18" l="1"/>
  <c r="R61" i="18" s="1"/>
  <c r="U61" i="18" s="1"/>
  <c r="M61" i="18"/>
  <c r="P61" i="18" s="1"/>
  <c r="S61" i="18" s="1"/>
  <c r="V61" i="18" s="1"/>
  <c r="AF61" i="18" s="1"/>
  <c r="N61" i="18"/>
  <c r="Q61" i="18" s="1"/>
  <c r="T61" i="18" s="1"/>
  <c r="W61" i="18" s="1"/>
  <c r="AJ61" i="18"/>
  <c r="Z62" i="18"/>
  <c r="AC61" i="18"/>
  <c r="AE61" i="18" s="1"/>
  <c r="C62" i="18"/>
  <c r="B62" i="18"/>
  <c r="G62" i="18"/>
  <c r="J62" i="18" s="1"/>
  <c r="I62" i="18"/>
  <c r="L62" i="18" s="1"/>
  <c r="H62" i="18"/>
  <c r="K62" i="18" s="1"/>
  <c r="A63" i="18"/>
  <c r="Y62" i="18"/>
  <c r="AI61" i="18"/>
  <c r="E64" i="18"/>
  <c r="D64" i="18"/>
  <c r="F62" i="18"/>
  <c r="X61" i="18"/>
  <c r="AH61" i="18" s="1"/>
  <c r="AA62" i="18"/>
  <c r="AK61" i="18"/>
  <c r="AG60" i="18"/>
  <c r="AB60" i="18"/>
  <c r="AD60" i="18" s="1"/>
  <c r="O62" i="18" l="1"/>
  <c r="R62" i="18" s="1"/>
  <c r="U62" i="18" s="1"/>
  <c r="N62" i="18"/>
  <c r="Q62" i="18" s="1"/>
  <c r="T62" i="18" s="1"/>
  <c r="W62" i="18" s="1"/>
  <c r="M62" i="18"/>
  <c r="P62" i="18" s="1"/>
  <c r="S62" i="18" s="1"/>
  <c r="V62" i="18" s="1"/>
  <c r="AF62" i="18" s="1"/>
  <c r="AK62" i="18"/>
  <c r="AA63" i="18"/>
  <c r="F63" i="18"/>
  <c r="X62" i="18"/>
  <c r="AH62" i="18" s="1"/>
  <c r="Y63" i="18"/>
  <c r="AI62" i="18"/>
  <c r="I63" i="18"/>
  <c r="L63" i="18" s="1"/>
  <c r="H63" i="18"/>
  <c r="K63" i="18" s="1"/>
  <c r="G63" i="18"/>
  <c r="J63" i="18" s="1"/>
  <c r="A64" i="18"/>
  <c r="C63" i="18"/>
  <c r="B63" i="18"/>
  <c r="Z63" i="18"/>
  <c r="AJ62" i="18"/>
  <c r="AC62" i="18"/>
  <c r="AE62" i="18" s="1"/>
  <c r="AG61" i="18"/>
  <c r="AB61" i="18"/>
  <c r="AD61" i="18" s="1"/>
  <c r="M63" i="18" l="1"/>
  <c r="P63" i="18" s="1"/>
  <c r="S63" i="18" s="1"/>
  <c r="V63" i="18" s="1"/>
  <c r="AF63" i="18" s="1"/>
  <c r="N63" i="18"/>
  <c r="Q63" i="18" s="1"/>
  <c r="T63" i="18" s="1"/>
  <c r="W63" i="18" s="1"/>
  <c r="O63" i="18"/>
  <c r="R63" i="18" s="1"/>
  <c r="U63" i="18" s="1"/>
  <c r="X63" i="18"/>
  <c r="AH63" i="18" s="1"/>
  <c r="F64" i="18"/>
  <c r="AJ63" i="18"/>
  <c r="Z64" i="18"/>
  <c r="AC63" i="18"/>
  <c r="AE63" i="18" s="1"/>
  <c r="I64" i="18"/>
  <c r="L64" i="18" s="1"/>
  <c r="C64" i="18"/>
  <c r="B2" i="18" s="1"/>
  <c r="B64" i="18"/>
  <c r="H64" i="18"/>
  <c r="K64" i="18" s="1"/>
  <c r="G64" i="18"/>
  <c r="J64" i="18" s="1"/>
  <c r="AI63" i="18"/>
  <c r="Y64" i="18"/>
  <c r="AI64" i="18" s="1"/>
  <c r="I5" i="17" s="1"/>
  <c r="AK63" i="18"/>
  <c r="AA64" i="18"/>
  <c r="AK64" i="18" s="1"/>
  <c r="AG62" i="18"/>
  <c r="AB62" i="18"/>
  <c r="AD62" i="18" s="1"/>
  <c r="F16" i="21" l="1"/>
  <c r="E16" i="21"/>
  <c r="D5" i="17"/>
  <c r="M64" i="18"/>
  <c r="P64" i="18" s="1"/>
  <c r="S64" i="18" s="1"/>
  <c r="V64" i="18" s="1"/>
  <c r="AF64" i="18" s="1"/>
  <c r="H5" i="17" s="1"/>
  <c r="D6" i="17"/>
  <c r="N64" i="18"/>
  <c r="Q64" i="18" s="1"/>
  <c r="T64" i="18" s="1"/>
  <c r="W64" i="18" s="1"/>
  <c r="D7" i="17"/>
  <c r="O64" i="18"/>
  <c r="R64" i="18" s="1"/>
  <c r="U64" i="18" s="1"/>
  <c r="X64" i="18" s="1"/>
  <c r="I7" i="17"/>
  <c r="AG63" i="18"/>
  <c r="AB63" i="18"/>
  <c r="AD63" i="18" s="1"/>
  <c r="E7" i="17"/>
  <c r="B18" i="13"/>
  <c r="F5" i="17"/>
  <c r="D2" i="18"/>
  <c r="B14" i="13"/>
  <c r="B13" i="13"/>
  <c r="B12" i="13"/>
  <c r="F2" i="18"/>
  <c r="F7" i="17"/>
  <c r="F6" i="17"/>
  <c r="E6" i="17"/>
  <c r="E5" i="17"/>
  <c r="G5" i="17" s="1"/>
  <c r="AJ64" i="18"/>
  <c r="I6" i="17" s="1"/>
  <c r="AC64" i="18"/>
  <c r="AE64" i="18" s="1"/>
  <c r="B16" i="6" s="1"/>
  <c r="B19" i="2" s="1"/>
  <c r="AH64" i="18" l="1"/>
  <c r="H7" i="17" s="1"/>
  <c r="G7" i="17"/>
  <c r="G6" i="17"/>
  <c r="D17" i="21"/>
  <c r="B18" i="6"/>
  <c r="E17" i="21"/>
  <c r="B17" i="6"/>
  <c r="B17" i="2"/>
  <c r="AG64" i="18"/>
  <c r="H6" i="17" s="1"/>
  <c r="AB64" i="18"/>
  <c r="AD64" i="18" s="1"/>
  <c r="B15" i="6" s="1"/>
  <c r="E19" i="21" l="1"/>
  <c r="F19" i="21" s="1"/>
  <c r="B18" i="2"/>
  <c r="E26" i="21" s="1"/>
  <c r="F26" i="21" s="1"/>
  <c r="A8" i="2"/>
  <c r="F17" i="21"/>
  <c r="F32" i="21" l="1"/>
  <c r="E31" i="21"/>
  <c r="E30" i="21"/>
  <c r="H2" i="21"/>
  <c r="B25" i="2" s="1"/>
</calcChain>
</file>

<file path=xl/sharedStrings.xml><?xml version="1.0" encoding="utf-8"?>
<sst xmlns="http://schemas.openxmlformats.org/spreadsheetml/2006/main" count="731" uniqueCount="645">
  <si>
    <t>fiatisfake Personal Finance Command Center</t>
  </si>
  <si>
    <t>One workbook. Your whole money picture. Free from fiatisfake.org. No email wall, no tracking, no fluff.</t>
  </si>
  <si>
    <t>START HERE - three steps</t>
  </si>
  <si>
    <t>Color legend</t>
  </si>
  <si>
    <t>type here</t>
  </si>
  <si>
    <t>Blue cell with a border = your input. Type over it.</t>
  </si>
  <si>
    <t>seed</t>
  </si>
  <si>
    <t>Yellow cell = data seed (market prices, 2026 tax figures) with an as-of date. Editable; refresh when stale.</t>
  </si>
  <si>
    <t>Black text = calculation. Locked so you can't break the engine (no password - Review &gt; Unprotect Sheet).</t>
  </si>
  <si>
    <t>Green text = pulled from another tab. One source of truth, everywhere.</t>
  </si>
  <si>
    <t>What each tab does</t>
  </si>
  <si>
    <t>Controls, key numbers, milestones, and the projection chart. Your home screen.</t>
  </si>
  <si>
    <t>THE input spine: income, spending, contributions. Every tab reads from here.</t>
  </si>
  <si>
    <t>Profile, allocation, scenario seeds, BTC settings.</t>
  </si>
  <si>
    <t>Monthly snapshots; the latest row is the single net-worth source.</t>
  </si>
  <si>
    <t>FI number, after-SS need, bridge years, FI age with and without BTC.</t>
  </si>
  <si>
    <t>One retirement year through the real tax engine.</t>
  </si>
  <si>
    <t>2026 federal brackets + LTCG stacking + NIIT + flat state rate.</t>
  </si>
  <si>
    <t>Balances, payoff math, avalanche order, payoff chart.</t>
  </si>
  <si>
    <t>Payoff sandbox - the minimum-payment trap, quantified.</t>
  </si>
  <si>
    <t>Rent vs own with principal, appreciation, carrying costs, opportunity cost, DTI.</t>
  </si>
  <si>
    <t>Allocation targets, rebalance bands, fee drag.</t>
  </si>
  <si>
    <t>Stack, sats, DCA, scenario prices, stress view.</t>
  </si>
  <si>
    <t>Offer comparison on COL-adjusted comp; what a raise is worth.</t>
  </si>
  <si>
    <t>Emergency fund, DIME life insurance, kids, college.</t>
  </si>
  <si>
    <t>Purchasing-power erosion from the live seeds.</t>
  </si>
  <si>
    <t>All three scenarios side by side - immune to the Dashboard toggle.</t>
  </si>
  <si>
    <t>The 61-year engine (nothing to edit).</t>
  </si>
  <si>
    <t>26 free companion tools on fiatisfake.org.</t>
  </si>
  <si>
    <t>Market snapshot seeds with dates, sources, and refresh steps.</t>
  </si>
  <si>
    <t>23-test regression harness - the Dashboard banner watches it.</t>
  </si>
  <si>
    <t>Data &amp; trust</t>
  </si>
  <si>
    <t>Market numbers are timestamped snapshots (CoinMetrics, FRED) - nothing phones home, no API keys, no tracking.</t>
  </si>
  <si>
    <t>2026 tax figures are seeds from IRS Rev. Proc. 2025-32. Verify before you file - planning inputs, not tax advice.</t>
  </si>
  <si>
    <t>The Checks tab runs 23 unit + integration tests inside the workbook; the Dashboard banner turns red if any fail.</t>
  </si>
  <si>
    <t>Education and tooling, not personalized advice. It projects assumptions you control; it does not know your life.</t>
  </si>
  <si>
    <t>Version 2.1.1 - free public release, 2026-07-08. Home: fiatisfake.org/command-center/. Seed refresh steps: Site Data tab.</t>
  </si>
  <si>
    <t>Built by fiatisfake.org - free download, no email wall, no fluff.</t>
  </si>
  <si>
    <t>Dashboard - fiatisfake Personal Finance Command Center</t>
  </si>
  <si>
    <t>Data as-of</t>
  </si>
  <si>
    <t>Everything here updates from your inputs. Green numbers are pulled from other tabs. Start with the three controls.</t>
  </si>
  <si>
    <t>Controls</t>
  </si>
  <si>
    <t>Scenario</t>
  </si>
  <si>
    <t>Base</t>
  </si>
  <si>
    <t>v pick one</t>
  </si>
  <si>
    <t>Include Bitcoin?</t>
  </si>
  <si>
    <t>Yes</t>
  </si>
  <si>
    <t>Only switches the headline below. Scenario Comparison and FIRE +BTC/no-BTC columns never collapse.</t>
  </si>
  <si>
    <t>BTC stress path</t>
  </si>
  <si>
    <t>Normal</t>
  </si>
  <si>
    <t>v stress-test the stack</t>
  </si>
  <si>
    <t>Key numbers</t>
  </si>
  <si>
    <t>Net worth (single source)</t>
  </si>
  <si>
    <t>Savings rate (from Budget spine)</t>
  </si>
  <si>
    <t>Monthly surplus</t>
  </si>
  <si>
    <t>Emergency runway (months)</t>
  </si>
  <si>
    <t>Debt-free date</t>
  </si>
  <si>
    <t>FI number (portfolio-only)</t>
  </si>
  <si>
    <t>FI progress</t>
  </si>
  <si>
    <t>Portfolio at target age (headline)</t>
  </si>
  <si>
    <t>FI age (+BTC)</t>
  </si>
  <si>
    <t>FI age (no BTC)</t>
  </si>
  <si>
    <t>BTC stack</t>
  </si>
  <si>
    <t>BTC stack in sats</t>
  </si>
  <si>
    <t>BTC value at seed price</t>
  </si>
  <si>
    <t>Model health</t>
  </si>
  <si>
    <t>Regression harness</t>
  </si>
  <si>
    <t>Milestones</t>
  </si>
  <si>
    <t>Emergency fund funded</t>
  </si>
  <si>
    <t>Net worth $10k</t>
  </si>
  <si>
    <t>Net worth $100k</t>
  </si>
  <si>
    <t>Net worth $1M</t>
  </si>
  <si>
    <t>FI number</t>
  </si>
  <si>
    <t>BTC stack goal</t>
  </si>
  <si>
    <t>Jump to a module</t>
  </si>
  <si>
    <t>Budget &amp; Cash Flow - the single cash-flow spine</t>
  </si>
  <si>
    <t>Income, expenses, debt payments, and contributions live HERE and only here. Every other tab reads these named cells.</t>
  </si>
  <si>
    <t>Monthly income</t>
  </si>
  <si>
    <t>Take-home pay</t>
  </si>
  <si>
    <t>Side income</t>
  </si>
  <si>
    <t>Other income</t>
  </si>
  <si>
    <t>Total monthly income</t>
  </si>
  <si>
    <t>Monthly expenses</t>
  </si>
  <si>
    <t>Housing (rent/mortgage)</t>
  </si>
  <si>
    <t>Utilities</t>
  </si>
  <si>
    <t>Groceries</t>
  </si>
  <si>
    <t>Transportation</t>
  </si>
  <si>
    <t>Insurance</t>
  </si>
  <si>
    <t>Phone &amp; internet</t>
  </si>
  <si>
    <t>Subscriptions</t>
  </si>
  <si>
    <t>Dining out</t>
  </si>
  <si>
    <t>Travel</t>
  </si>
  <si>
    <t>Personal &amp; clothing</t>
  </si>
  <si>
    <t>Everything else</t>
  </si>
  <si>
    <t>Debt minimum payments (from Debt Center)</t>
  </si>
  <si>
    <t>Total monthly expenses</t>
  </si>
  <si>
    <t>Turns red if spending tops 90% of take-home</t>
  </si>
  <si>
    <t>Savings &amp; contributions</t>
  </si>
  <si>
    <t>Monthly investing contribution</t>
  </si>
  <si>
    <t>Split across stocks/bonds/cash/BTC by the Assumptions allocation</t>
  </si>
  <si>
    <t>Monthly surplus (unallocated)</t>
  </si>
  <si>
    <t>Savings rate</t>
  </si>
  <si>
    <t>Annual surplus</t>
  </si>
  <si>
    <t>Annual contributions</t>
  </si>
  <si>
    <t xml:space="preserve">  to stocks/bonds/cash</t>
  </si>
  <si>
    <t xml:space="preserve">  to Bitcoin DCA</t>
  </si>
  <si>
    <t>Assumptions - every seed and profile input lives here or on Site Data</t>
  </si>
  <si>
    <t>Your profile, allocation, scenario seeds, and BTC settings - the model's control room.</t>
  </si>
  <si>
    <t>Profile</t>
  </si>
  <si>
    <t>Current age</t>
  </si>
  <si>
    <t>Target retirement age</t>
  </si>
  <si>
    <t>Social Security start age</t>
  </si>
  <si>
    <t>SS annual benefit (today's $)</t>
  </si>
  <si>
    <t>Placeholder seed - pull your real number from ssa.gov/myaccount</t>
  </si>
  <si>
    <t>Pension annual benefit</t>
  </si>
  <si>
    <t>Filing status</t>
  </si>
  <si>
    <t>Single</t>
  </si>
  <si>
    <t>State ordinary income rate</t>
  </si>
  <si>
    <t>Flat approximation. SC 2026 top rate is ~6.2%; TN is 0%.</t>
  </si>
  <si>
    <t>Safe withdrawal rate (SWR)</t>
  </si>
  <si>
    <t>Retirement spend (% of today's expenses)</t>
  </si>
  <si>
    <t>Base year</t>
  </si>
  <si>
    <t>Seed - drives projection calendar years</t>
  </si>
  <si>
    <t>Emergency cash on hand</t>
  </si>
  <si>
    <t>Current invested portfolio (non-BTC)</t>
  </si>
  <si>
    <t>Brokerage + retirement accounts, excluding BTC</t>
  </si>
  <si>
    <t>Allocation of monthly contributions (must sum to 100%)</t>
  </si>
  <si>
    <t>Stocks</t>
  </si>
  <si>
    <t>Bonds</t>
  </si>
  <si>
    <t>Cash</t>
  </si>
  <si>
    <t>Bitcoin</t>
  </si>
  <si>
    <t>Total</t>
  </si>
  <si>
    <t>BTC stack (units held)</t>
  </si>
  <si>
    <t>Placeholder seed - set to your actual stack. 0 is fully supported everywhere.</t>
  </si>
  <si>
    <t>BTC CAGR glide period (years)</t>
  </si>
  <si>
    <t>Years over which BTC CAGR decays from initial to terminal</t>
  </si>
  <si>
    <t>BTC price seed (from Site Data)</t>
  </si>
  <si>
    <t>BTC stack goal (units)</t>
  </si>
  <si>
    <t>Drives the Dashboard milestone bar. Set to your own target.</t>
  </si>
  <si>
    <t>Scenario paths (each scenario has its own full return set)</t>
  </si>
  <si>
    <t>Inflation</t>
  </si>
  <si>
    <t>BTC initial CAGR</t>
  </si>
  <si>
    <t>BTC terminal CAGR</t>
  </si>
  <si>
    <t>Blended non-BTC return</t>
  </si>
  <si>
    <t>Conservative</t>
  </si>
  <si>
    <t>Aggressive</t>
  </si>
  <si>
    <t>Seeds informed by 1928-2025 history (S&amp;P nominal 10.1%/yr, bonds ~2% real, inflation avg 3.1% - see fiatisfake.org data pipeline). Edit freely.</t>
  </si>
  <si>
    <t>BTC stress paths (selector lives on Dashboard)</t>
  </si>
  <si>
    <t>BTC follows the scenario glidepath</t>
  </si>
  <si>
    <t>Flat 0%</t>
  </si>
  <si>
    <t>BTC price frozen at the seed forever</t>
  </si>
  <si>
    <t>-80% shock</t>
  </si>
  <si>
    <t>Permanent 80% haircut vs the Normal path</t>
  </si>
  <si>
    <t>Zero BTC</t>
  </si>
  <si>
    <t>Stack 0, DCA 0 - the true zero-BTC view</t>
  </si>
  <si>
    <t>-80% shock retention (x Normal path)</t>
  </si>
  <si>
    <t>Derived (do not edit)</t>
  </si>
  <si>
    <t>Scenario index</t>
  </si>
  <si>
    <t>Stress index</t>
  </si>
  <si>
    <t>Selected inflation</t>
  </si>
  <si>
    <t>Selected blended non-BTC return</t>
  </si>
  <si>
    <t>Net worth (from Net Worth Tracker)</t>
  </si>
  <si>
    <t>Net Worth Tracker - single source of net worth</t>
  </si>
  <si>
    <t>Rows 5-10 are placeholder seed history - replace with your own snapshots. Net worth column is computed; the latest row feeds Dashboard and Assumptions.</t>
  </si>
  <si>
    <t>Date</t>
  </si>
  <si>
    <t>Brokerage</t>
  </si>
  <si>
    <t>Retirement</t>
  </si>
  <si>
    <t>BTC value</t>
  </si>
  <si>
    <t>Real estate</t>
  </si>
  <si>
    <t>Other assets</t>
  </si>
  <si>
    <t>Liabilities</t>
  </si>
  <si>
    <t>Net worth</t>
  </si>
  <si>
    <t>Latest net worth</t>
  </si>
  <si>
    <t>Pulled from the last numeric row of column I</t>
  </si>
  <si>
    <t>FIRE &amp; Retirement - distinct FI numbers, bridge math</t>
  </si>
  <si>
    <t>What financial independence costs, with and without Bitcoin.</t>
  </si>
  <si>
    <t>Retirement annual spend (today's $)</t>
  </si>
  <si>
    <t>FI number - portfolio-only, before guaranteed income</t>
  </si>
  <si>
    <t>Guaranteed income (SS + pension, annual)</t>
  </si>
  <si>
    <t>Retirement portfolio need - after SS/pension</t>
  </si>
  <si>
    <t>Bridge years (target age to SS start)</t>
  </si>
  <si>
    <t>Bridge funding need (undiscounted)</t>
  </si>
  <si>
    <t>Spend during the bridge, before SS kicks in. Undiscounted - a rough planning number.</t>
  </si>
  <si>
    <t>Where you stand</t>
  </si>
  <si>
    <t>Current investable (portfolio + BTC at seed price)</t>
  </si>
  <si>
    <t>FI progress (vs portfolio-only FI number)</t>
  </si>
  <si>
    <t>Projected FI age - with Bitcoin</t>
  </si>
  <si>
    <t>Projected FI age - without Bitcoin</t>
  </si>
  <si>
    <t>Portfolio at target age (+BTC)</t>
  </si>
  <si>
    <t>Portfolio at target age (no BTC)</t>
  </si>
  <si>
    <t>The +BTC / no-BTC columns are computed independently of the Dashboard 'Include Bitcoin?' toggle - the toggle only picks which one the Dashboard headline shows.</t>
  </si>
  <si>
    <t>Retirement Drawdown - taxes via the real bracket engine (no flat 10%)</t>
  </si>
  <si>
    <t>One retirement year: withdraw, pay real taxes, see what's left.</t>
  </si>
  <si>
    <t>Withdrawals (one retirement year)</t>
  </si>
  <si>
    <t>Traditional 401(k)/IRA withdrawal</t>
  </si>
  <si>
    <t>Roth withdrawal (tax-free)</t>
  </si>
  <si>
    <t>Taxable brokerage sale proceeds</t>
  </si>
  <si>
    <t>Gain fraction of taxable sale</t>
  </si>
  <si>
    <t>Other ordinary income</t>
  </si>
  <si>
    <t>Tax engine (same brackets and seeds as Tax Center)</t>
  </si>
  <si>
    <t>Gross cash inflows (withdrawals + other income)</t>
  </si>
  <si>
    <t>Ordinary income</t>
  </si>
  <si>
    <t>LTCG realized</t>
  </si>
  <si>
    <t>Ordinary taxable income (after standard deduction)</t>
  </si>
  <si>
    <t>Total taxable income (ordinary + gains, after deduction)</t>
  </si>
  <si>
    <t>Gains taxed (leftover deduction shelters gains first)</t>
  </si>
  <si>
    <t>Federal ordinary tax (bracket walk)</t>
  </si>
  <si>
    <t>LTCG tax (stacked)</t>
  </si>
  <si>
    <t>NIIT (rough estimate)</t>
  </si>
  <si>
    <t>State tax (flat rate on total taxable - rough estimate)</t>
  </si>
  <si>
    <t>Total tax</t>
  </si>
  <si>
    <t>Net cash after tax</t>
  </si>
  <si>
    <t>Effective tax rate on gross inflows</t>
  </si>
  <si>
    <t>Retirement annual spend target</t>
  </si>
  <si>
    <t>Surplus / (shortfall) vs target</t>
  </si>
  <si>
    <t>Simplifications, labeled: no RMD interplay, no SS taxation formula, no IRMAA. State treated as flat on total taxable income. Other ordinary income counts as cash in and as taxable income.</t>
  </si>
  <si>
    <t>Engine self-test (read by Checks)</t>
  </si>
  <si>
    <t>Federal ordinary tax on fixed $100,000 taxable</t>
  </si>
  <si>
    <t>Tax Center - 2026 bracket engine (federal ordinary + LTCG stack + NIIT + state)</t>
  </si>
  <si>
    <t>2026 federal bracket engine with LTCG stacking, NIIT, and a flat state rate.</t>
  </si>
  <si>
    <t>Inputs</t>
  </si>
  <si>
    <t>Gross income (W-2 + 1099)</t>
  </si>
  <si>
    <t>Pre-tax 401(k)/403(b)</t>
  </si>
  <si>
    <t>Other pre-tax (HSA, trad IRA)</t>
  </si>
  <si>
    <t>Long-term capital gains realized</t>
  </si>
  <si>
    <t>Other net investment income (already counted in gross)</t>
  </si>
  <si>
    <t>Filing status / state rate (from Assumptions)</t>
  </si>
  <si>
    <t>2026 seeds (named cells - IRS Rev. Proc. 2025-32; verify before filing season)</t>
  </si>
  <si>
    <t>Seed</t>
  </si>
  <si>
    <t>MFJ</t>
  </si>
  <si>
    <t>Rate</t>
  </si>
  <si>
    <t>Standard deduction</t>
  </si>
  <si>
    <t>Bracket 1 lower bound</t>
  </si>
  <si>
    <t>Bracket 2 lower bound</t>
  </si>
  <si>
    <t>Bracket 3 lower bound</t>
  </si>
  <si>
    <t>Bracket 4 lower bound</t>
  </si>
  <si>
    <t>Bracket 5 lower bound</t>
  </si>
  <si>
    <t>Bracket 6 lower bound</t>
  </si>
  <si>
    <t>Bracket 7 lower bound</t>
  </si>
  <si>
    <t>LTCG 0% band top</t>
  </si>
  <si>
    <t>LTCG 15% band top</t>
  </si>
  <si>
    <t>NIIT MAGI threshold</t>
  </si>
  <si>
    <t>NIIT rate</t>
  </si>
  <si>
    <t>LTCG rates (15% band / 20% band)</t>
  </si>
  <si>
    <t>Active bracket table (switches with filing status - do not edit)</t>
  </si>
  <si>
    <t>Active lower</t>
  </si>
  <si>
    <t>Rate step</t>
  </si>
  <si>
    <t>Bracket 1</t>
  </si>
  <si>
    <t>Bracket 2</t>
  </si>
  <si>
    <t>Bracket 3</t>
  </si>
  <si>
    <t>Bracket 4</t>
  </si>
  <si>
    <t>Bracket 5</t>
  </si>
  <si>
    <t>Bracket 6</t>
  </si>
  <si>
    <t>Bracket 7</t>
  </si>
  <si>
    <t>Active standard deduction</t>
  </si>
  <si>
    <t>Active LTCG 0% top</t>
  </si>
  <si>
    <t>Active LTCG 15% top</t>
  </si>
  <si>
    <t>Active NIIT threshold</t>
  </si>
  <si>
    <t>Engine</t>
  </si>
  <si>
    <t>Ordinary taxable income (after deduction)</t>
  </si>
  <si>
    <t>Marginal federal rate</t>
  </si>
  <si>
    <t>LTCG tax (stacked on ordinary income)</t>
  </si>
  <si>
    <t>NIIT (3.8% - rough estimate, MAGI approximated)</t>
  </si>
  <si>
    <t>Effective rate on gross</t>
  </si>
  <si>
    <t>Debt Center - balances, payoff math, avalanche order</t>
  </si>
  <si>
    <t>Every debt, its payoff clock, and the avalanche order.</t>
  </si>
  <si>
    <t>Debt</t>
  </si>
  <si>
    <t>Balance</t>
  </si>
  <si>
    <t>APR</t>
  </si>
  <si>
    <t>Min payment /mo</t>
  </si>
  <si>
    <t>Monthly rate</t>
  </si>
  <si>
    <t>Months to payoff</t>
  </si>
  <si>
    <t>Interest to payoff</t>
  </si>
  <si>
    <t>Avalanche rank</t>
  </si>
  <si>
    <t>helper</t>
  </si>
  <si>
    <t>Credit card</t>
  </si>
  <si>
    <t>Auto loan</t>
  </si>
  <si>
    <t>Highlighted row = avalanche target: highest APR, kill it first.</t>
  </si>
  <si>
    <t>Totals</t>
  </si>
  <si>
    <t>Months until debt-free</t>
  </si>
  <si>
    <t>What-if: extra payment on the top avalanche debt (row 5)</t>
  </si>
  <si>
    <t>Extra monthly payment</t>
  </si>
  <si>
    <t>Months to payoff with extra</t>
  </si>
  <si>
    <t>Interest saved</t>
  </si>
  <si>
    <t>Payoff projection at minimum payments (feeds the chart)</t>
  </si>
  <si>
    <t>Month</t>
  </si>
  <si>
    <t>Total balance</t>
  </si>
  <si>
    <t>Credit Cards - payoff math sandbox (not linked to your budget)</t>
  </si>
  <si>
    <t>Sandbox calculator. Your real debts live in Debt Center; this tab answers what-ifs without touching the spine.</t>
  </si>
  <si>
    <t>Credit limit</t>
  </si>
  <si>
    <t>Fixed monthly payment</t>
  </si>
  <si>
    <t>Minimum payment % of balance</t>
  </si>
  <si>
    <t>Utilization</t>
  </si>
  <si>
    <t>Months to payoff at fixed payment</t>
  </si>
  <si>
    <t>Interest paid at fixed payment</t>
  </si>
  <si>
    <t>First minimum payment (floor $25)</t>
  </si>
  <si>
    <t>Months if you fixed that first minimum</t>
  </si>
  <si>
    <t>True min-only payoff (payment shrinking every month) takes even longer - this is the optimistic version.</t>
  </si>
  <si>
    <t>Interest on that path</t>
  </si>
  <si>
    <t>Housing - rent vs own with principal, appreciation, taxes, maintenance, opportunity cost</t>
  </si>
  <si>
    <t>Rent vs own with principal, appreciation, carrying costs, and opportunity cost.</t>
  </si>
  <si>
    <t>Home price</t>
  </si>
  <si>
    <t>Property tax %/yr</t>
  </si>
  <si>
    <t>Down payment %</t>
  </si>
  <si>
    <t>Maintenance %/yr</t>
  </si>
  <si>
    <t>Closing costs %</t>
  </si>
  <si>
    <t>Insurance %/yr</t>
  </si>
  <si>
    <t>Mortgage rate (seed)</t>
  </si>
  <si>
    <t>Appreciation %/yr</t>
  </si>
  <si>
    <t>Term (years)</t>
  </si>
  <si>
    <t>Investment return</t>
  </si>
  <si>
    <t>Rent today ($/mo)</t>
  </si>
  <si>
    <t>Down payment $</t>
  </si>
  <si>
    <t>Rent growth %/yr</t>
  </si>
  <si>
    <t>Loan amount</t>
  </si>
  <si>
    <t>Front-end DTI</t>
  </si>
  <si>
    <t>Monthly P&amp;I</t>
  </si>
  <si>
    <t>&lt;= 28% = classic guideline</t>
  </si>
  <si>
    <t>Initial outlay</t>
  </si>
  <si>
    <t>Year</t>
  </si>
  <si>
    <t>Balance start</t>
  </si>
  <si>
    <t>Balance end</t>
  </si>
  <si>
    <t>Principal paid</t>
  </si>
  <si>
    <t>Interest paid</t>
  </si>
  <si>
    <t>Home value</t>
  </si>
  <si>
    <t>Appreciation</t>
  </si>
  <si>
    <t>Owner outflow</t>
  </si>
  <si>
    <t>Opportunity cost</t>
  </si>
  <si>
    <t>Owner net cost</t>
  </si>
  <si>
    <t>Rent cost</t>
  </si>
  <si>
    <t>Cum own</t>
  </si>
  <si>
    <t>Cum rent</t>
  </si>
  <si>
    <t>Own &lt;= rent?</t>
  </si>
  <si>
    <t>Break-even year</t>
  </si>
  <si>
    <t>First year cumulative owning cost falls to or below renting</t>
  </si>
  <si>
    <t>Self-test fixture (read by Checks - renting-wins scenario)</t>
  </si>
  <si>
    <t>Self-test break-even output</t>
  </si>
  <si>
    <t>Investing - allocation, fee drag, rebalancing bands</t>
  </si>
  <si>
    <t>Allocation targets, rebalance bands, and what fees really cost.</t>
  </si>
  <si>
    <t>Target allocation (from Assumptions - edit there)</t>
  </si>
  <si>
    <t>Current weights vs target (rebalance check)</t>
  </si>
  <si>
    <t>Asset</t>
  </si>
  <si>
    <t>Current weight</t>
  </si>
  <si>
    <t>Target</t>
  </si>
  <si>
    <t>Drift</t>
  </si>
  <si>
    <t>Action (5pp band)</t>
  </si>
  <si>
    <t>Rebalance band (drift tolerance)</t>
  </si>
  <si>
    <t>Expense-ratio drag</t>
  </si>
  <si>
    <t>Starting balance</t>
  </si>
  <si>
    <t>Years</t>
  </si>
  <si>
    <t>Gross return</t>
  </si>
  <si>
    <t>Expense ratio</t>
  </si>
  <si>
    <t>Ending balance, gross</t>
  </si>
  <si>
    <t>Ending balance, net of fee</t>
  </si>
  <si>
    <t>Lifetime fee drag</t>
  </si>
  <si>
    <t>Bitcoin - stack, sats, DCA, scenario prices, stress view</t>
  </si>
  <si>
    <t>Stack, sats, DCA, and scenario prices at your target age.</t>
  </si>
  <si>
    <t>Stack (from Assumptions)</t>
  </si>
  <si>
    <t>Stack in sats</t>
  </si>
  <si>
    <t>Stack value at seed price</t>
  </si>
  <si>
    <t>Monthly DCA (from Budget allocation)</t>
  </si>
  <si>
    <t>Monthly DCA in sats at seed price</t>
  </si>
  <si>
    <t>Monthly expenses priced in sats</t>
  </si>
  <si>
    <t>Scenario price paths (Normal, no stress)</t>
  </si>
  <si>
    <t>Price at target age - Conservative</t>
  </si>
  <si>
    <t>Price at target age - Base</t>
  </si>
  <si>
    <t>Price at target age - Aggressive</t>
  </si>
  <si>
    <t>Current stress view (selected scenario)</t>
  </si>
  <si>
    <t>Stress path selected (Dashboard)</t>
  </si>
  <si>
    <t>BTC value at target age under stress</t>
  </si>
  <si>
    <t>Snapshot architecture: prices are as-of seeds, not live. NYKNYC - this workbook tracks, it does not custody.</t>
  </si>
  <si>
    <t>Career &amp; Decisions - offer comparison, raise value</t>
  </si>
  <si>
    <t>Compare offers on cost-of-living-adjusted comp; price a raise.</t>
  </si>
  <si>
    <t>Offer A</t>
  </si>
  <si>
    <t>Offer B</t>
  </si>
  <si>
    <t>Salary</t>
  </si>
  <si>
    <t>Bonus %</t>
  </si>
  <si>
    <t>401(k) match %</t>
  </si>
  <si>
    <t>Benefits value ($/yr)</t>
  </si>
  <si>
    <t>Cost-of-living index (100 = current)</t>
  </si>
  <si>
    <t>Total comp (nominal)</t>
  </si>
  <si>
    <t>COL-adjusted comp</t>
  </si>
  <si>
    <t>What a raise is really worth</t>
  </si>
  <si>
    <t>Extra annual salary (raise)</t>
  </si>
  <si>
    <t>Years invested</t>
  </si>
  <si>
    <t>Return assumption</t>
  </si>
  <si>
    <t>Future value if invested every year</t>
  </si>
  <si>
    <t>Family &amp; Life - emergency fund, life insurance, kids, college</t>
  </si>
  <si>
    <t>Emergency fund, life insurance (DIME), kids, and college.</t>
  </si>
  <si>
    <t>Emergency fund</t>
  </si>
  <si>
    <t>Months of expenses to hold</t>
  </si>
  <si>
    <t>Funded</t>
  </si>
  <si>
    <t>Runway today (months)</t>
  </si>
  <si>
    <t>Life insurance need (DIME)</t>
  </si>
  <si>
    <t>Debt (non-mortgage, from Debt Center)</t>
  </si>
  <si>
    <t>Income years to replace</t>
  </si>
  <si>
    <t>Mortgage balance</t>
  </si>
  <si>
    <t>Education fund per kid</t>
  </si>
  <si>
    <t>Number of kids</t>
  </si>
  <si>
    <t>DIME coverage estimate</t>
  </si>
  <si>
    <t>Cost of a kid (inflation-adjusted, selected scenario)</t>
  </si>
  <si>
    <t>Annual cost today</t>
  </si>
  <si>
    <t>Total nominal cost</t>
  </si>
  <si>
    <t>College savings (529)</t>
  </si>
  <si>
    <t>Target amount</t>
  </si>
  <si>
    <t>Years until college</t>
  </si>
  <si>
    <t>Monthly contribution needed</t>
  </si>
  <si>
    <t>Macro &amp; Inflation - what the seeds say about your money</t>
  </si>
  <si>
    <t>What the current seeds say about your purchasing power.</t>
  </si>
  <si>
    <t>Current snapshot (from Site Data)</t>
  </si>
  <si>
    <t>CPI inflation YoY</t>
  </si>
  <si>
    <t>M2 growth YoY</t>
  </si>
  <si>
    <t>M2 level ($B)</t>
  </si>
  <si>
    <t>10Y Treasury</t>
  </si>
  <si>
    <t>30Y mortgage</t>
  </si>
  <si>
    <t>Bitcoin price</t>
  </si>
  <si>
    <t>Personal inflation rate (your basket)</t>
  </si>
  <si>
    <t>Purchasing power of $100</t>
  </si>
  <si>
    <t>At CPI seed</t>
  </si>
  <si>
    <t>At your personal rate</t>
  </si>
  <si>
    <t>Salary horizon (years)</t>
  </si>
  <si>
    <t>Salary needed at that horizon to match today's gross</t>
  </si>
  <si>
    <t>M2 growth minus CPI (monetary premium)</t>
  </si>
  <si>
    <t>Scenario Comparison - all three paths, computed independently of the Dashboard toggle</t>
  </si>
  <si>
    <t>All three paths side by side - never affected by the Dashboard toggle.</t>
  </si>
  <si>
    <t>BTC CAGR path</t>
  </si>
  <si>
    <t>BTC price at +60y (Normal)</t>
  </si>
  <si>
    <t>WithBTC at target age</t>
  </si>
  <si>
    <t>NoBTC at target age</t>
  </si>
  <si>
    <t>BTC edge</t>
  </si>
  <si>
    <t>FI age +BTC</t>
  </si>
  <si>
    <t>FI age no-BTC</t>
  </si>
  <si>
    <t>WithBTC columns respect the BTC stress path selector. The 'Include Bitcoin?' toggle does NOT touch this table - it only chooses the Dashboard headline.</t>
  </si>
  <si>
    <t>NoBTC = stack sold at today's seed price into the market mix + all future BTC DCA redirected to stocks/bonds/cash. A labeled counterfactual, not advice.</t>
  </si>
  <si>
    <t>Projections - 61-year engine, all three scenarios computed in parallel</t>
  </si>
  <si>
    <t>Target-age row</t>
  </si>
  <si>
    <t>WithBTC @ target (selected)</t>
  </si>
  <si>
    <t>NoBTC @ target (selected)</t>
  </si>
  <si>
    <t>ENGINE TAB - nothing to edit here. Helper flag columns are hidden; every other tab reads this one.</t>
  </si>
  <si>
    <t>t</t>
  </si>
  <si>
    <t>Age</t>
  </si>
  <si>
    <t>Portfolio C</t>
  </si>
  <si>
    <t>Portfolio B</t>
  </si>
  <si>
    <t>Portfolio A</t>
  </si>
  <si>
    <t>BTC CAGR C</t>
  </si>
  <si>
    <t>BTC CAGR B</t>
  </si>
  <si>
    <t>BTC CAGR A</t>
  </si>
  <si>
    <t>BTC px C</t>
  </si>
  <si>
    <t>BTC px B</t>
  </si>
  <si>
    <t>BTC px A</t>
  </si>
  <si>
    <t>BTC px stress C</t>
  </si>
  <si>
    <t>BTC px stress B</t>
  </si>
  <si>
    <t>BTC px stress A</t>
  </si>
  <si>
    <t>BTC units C</t>
  </si>
  <si>
    <t>BTC units B</t>
  </si>
  <si>
    <t>BTC units A</t>
  </si>
  <si>
    <t>BTC value C</t>
  </si>
  <si>
    <t>BTC value B</t>
  </si>
  <si>
    <t>BTC value A</t>
  </si>
  <si>
    <t>WithBTC C</t>
  </si>
  <si>
    <t>WithBTC B</t>
  </si>
  <si>
    <t>WithBTC A</t>
  </si>
  <si>
    <t>NoBTC C</t>
  </si>
  <si>
    <t>NoBTC B</t>
  </si>
  <si>
    <t>NoBTC A</t>
  </si>
  <si>
    <t>Sel WithBTC</t>
  </si>
  <si>
    <t>Sel NoBTC</t>
  </si>
  <si>
    <t>FI flag W</t>
  </si>
  <si>
    <t>FI flag N</t>
  </si>
  <si>
    <t>FIw C</t>
  </si>
  <si>
    <t>FIw B</t>
  </si>
  <si>
    <t>FIw A</t>
  </si>
  <si>
    <t>FIn C</t>
  </si>
  <si>
    <t>FIn B</t>
  </si>
  <si>
    <t>FIn A</t>
  </si>
  <si>
    <t>Site Tool Library - free companions on fiatisfake.org</t>
  </si>
  <si>
    <t>Every tool below is free, no login, no email wall. Same architecture as this workbook: cited sources, editable assumptions.</t>
  </si>
  <si>
    <t>Tool</t>
  </si>
  <si>
    <t>URL</t>
  </si>
  <si>
    <t>What it answers</t>
  </si>
  <si>
    <t>Budget Builder</t>
  </si>
  <si>
    <t>https://fiatisfake.org/tools/budget-builder/</t>
  </si>
  <si>
    <t>The Budget tab, online</t>
  </si>
  <si>
    <t>Net Worth + Sovereignty Score</t>
  </si>
  <si>
    <t>https://fiatisfake.org/tools/net-worth-tracker/</t>
  </si>
  <si>
    <t>Net worth with a self-custody lens</t>
  </si>
  <si>
    <t>Emergency Fund Calculator</t>
  </si>
  <si>
    <t>https://fiatisfake.org/tools/emergency-fund/</t>
  </si>
  <si>
    <t>Runway math</t>
  </si>
  <si>
    <t>Debt Payoff + Opportunity Cost</t>
  </si>
  <si>
    <t>https://fiatisfake.org/tools/debt-payoff-calculator/</t>
  </si>
  <si>
    <t>Avalanche vs snowball with the real cost</t>
  </si>
  <si>
    <t>Credit Card Payoff Calculator</t>
  </si>
  <si>
    <t>https://fiatisfake.org/tools/credit-card-payoff/</t>
  </si>
  <si>
    <t>Minimum-payment trap math</t>
  </si>
  <si>
    <t>Tax Bracket Calculator (2026)</t>
  </si>
  <si>
    <t>https://fiatisfake.org/tools/tax-bracket/</t>
  </si>
  <si>
    <t>Where your next dollar is taxed</t>
  </si>
  <si>
    <t>Tax Estimator</t>
  </si>
  <si>
    <t>https://fiatisfake.org/tools/tax-estimator/</t>
  </si>
  <si>
    <t>Full-year federal + state estimate</t>
  </si>
  <si>
    <t>State Capital Gains Comparator</t>
  </si>
  <si>
    <t>https://fiatisfake.org/tools/state-capital-gains/</t>
  </si>
  <si>
    <t>What moving states does to LTCG</t>
  </si>
  <si>
    <t>Bitcoin DCA Calculator</t>
  </si>
  <si>
    <t>https://fiatisfake.org/tools/dca-calculator/</t>
  </si>
  <si>
    <t>What a stacking habit builds</t>
  </si>
  <si>
    <t>Satoshi to USD Converter</t>
  </si>
  <si>
    <t>https://fiatisfake.org/tools/sat-converter/</t>
  </si>
  <si>
    <t>Sats &lt;-&gt; dollars</t>
  </si>
  <si>
    <t>Bitcoin Sats Accumulator</t>
  </si>
  <si>
    <t>https://fiatisfake.org/tools/sats-accumulator/</t>
  </si>
  <si>
    <t>Stack growth over time</t>
  </si>
  <si>
    <t>Bitcoin vs S&amp;P 500</t>
  </si>
  <si>
    <t>https://fiatisfake.org/tools/bitcoin-vs-sp500/</t>
  </si>
  <si>
    <t>The comparison everyone asks for</t>
  </si>
  <si>
    <t>Bitcoin Cost Basis Tracker</t>
  </si>
  <si>
    <t>https://fiatisfake.org/tools/bitcoin-cost-basis/</t>
  </si>
  <si>
    <t>Lots, basis, and taint labeling</t>
  </si>
  <si>
    <t>FIRE Calculator</t>
  </si>
  <si>
    <t>https://fiatisfake.org/tools/fire-calculator/</t>
  </si>
  <si>
    <t>Full FIRE projection</t>
  </si>
  <si>
    <t>What Is My FIRE Number?</t>
  </si>
  <si>
    <t>https://fiatisfake.org/tools/fire-number/</t>
  </si>
  <si>
    <t>The 25x math</t>
  </si>
  <si>
    <t>Savings Rate to FI</t>
  </si>
  <si>
    <t>https://fiatisfake.org/tools/savings-rate-fi/</t>
  </si>
  <si>
    <t>Years to FI from your savings rate</t>
  </si>
  <si>
    <t>Social Security Bridge</t>
  </si>
  <si>
    <t>https://fiatisfake.org/tools/ss-bridge-calculator/</t>
  </si>
  <si>
    <t>The bridge-years problem</t>
  </si>
  <si>
    <t>Tax-Efficient Withdrawal Sequencer</t>
  </si>
  <si>
    <t>https://fiatisfake.org/tools/withdrawal-sequencer/</t>
  </si>
  <si>
    <t>Drawdown order</t>
  </si>
  <si>
    <t>RMD Calculator</t>
  </si>
  <si>
    <t>https://fiatisfake.org/tools/rmd-calculator/</t>
  </si>
  <si>
    <t>IRS Uniform Table RMDs</t>
  </si>
  <si>
    <t>Mortgage vs Rent</t>
  </si>
  <si>
    <t>https://fiatisfake.org/tools/mortgage-vs-rent/</t>
  </si>
  <si>
    <t>The Housing tab, online</t>
  </si>
  <si>
    <t>Refinance Break-Even</t>
  </si>
  <si>
    <t>https://fiatisfake.org/tools/refi-break-even/</t>
  </si>
  <si>
    <t>When a refi pays for itself</t>
  </si>
  <si>
    <t>Job Offer Comparison</t>
  </si>
  <si>
    <t>https://fiatisfake.org/tools/job-offer-comparison/</t>
  </si>
  <si>
    <t>The Career tab, online</t>
  </si>
  <si>
    <t>Baby Cost Estimator</t>
  </si>
  <si>
    <t>https://fiatisfake.org/tools/baby-cost-estimator/</t>
  </si>
  <si>
    <t>Kid math</t>
  </si>
  <si>
    <t>Expense Ratio Impact</t>
  </si>
  <si>
    <t>https://fiatisfake.org/tools/expense-ratio-impact/</t>
  </si>
  <si>
    <t>Fee drag over decades</t>
  </si>
  <si>
    <t>Purchasing Power Calculator</t>
  </si>
  <si>
    <t>https://fiatisfake.org/tools/purchasing-power/</t>
  </si>
  <si>
    <t>What inflation does to $100</t>
  </si>
  <si>
    <t>M2 Money Supply Tracker</t>
  </si>
  <si>
    <t>https://fiatisfake.org/tools/money-supply-tracker/</t>
  </si>
  <si>
    <t>Debasement, charted</t>
  </si>
  <si>
    <t>Site Data - market snapshot seeds</t>
  </si>
  <si>
    <t>Snapshot-default architecture: these are as-of seed values, not live feeds. Refresh them yourself (sources below) or grab fresh numbers from the fiatisfake.org tools.</t>
  </si>
  <si>
    <t>Metric</t>
  </si>
  <si>
    <t>Value</t>
  </si>
  <si>
    <t>As-of</t>
  </si>
  <si>
    <t>Source</t>
  </si>
  <si>
    <t>Type</t>
  </si>
  <si>
    <t>Bitcoin price (USD)</t>
  </si>
  <si>
    <t>CoinMetrics community data (coinmetrics.io)</t>
  </si>
  <si>
    <t>Real snapshot</t>
  </si>
  <si>
    <t>30-year fixed mortgage</t>
  </si>
  <si>
    <t>FRED MORTGAGE30US</t>
  </si>
  <si>
    <t>10-year Treasury yield</t>
  </si>
  <si>
    <t>FRED DGS10</t>
  </si>
  <si>
    <t>CPI inflation (YoY)</t>
  </si>
  <si>
    <t>FRED CPIAUCSL (333.979 vs 320.620 a year prior)</t>
  </si>
  <si>
    <t>M2 money supply growth (YoY)</t>
  </si>
  <si>
    <t>FRED M2SL (23,052.3B vs 21,833.9B a year prior)</t>
  </si>
  <si>
    <t>M2 money supply ($B)</t>
  </si>
  <si>
    <t>FRED M2SL</t>
  </si>
  <si>
    <t>Workbook data as-of date</t>
  </si>
  <si>
    <t>No API keys, no external calls. Every number in this workbook computes from these seeds plus your inputs.</t>
  </si>
  <si>
    <t>Workbook version</t>
  </si>
  <si>
    <t>v2.1.1 (built 2026-07-08)</t>
  </si>
  <si>
    <t>How to refresh these seeds (2 minutes, four times a year is plenty)</t>
  </si>
  <si>
    <t>1. Get the fresh number: BTC price from coinmetrics.io or your exchange; mortgage, Treasury, CPI, and M2 from fred.stlouisfed.org (the exact series is in the Source column).</t>
  </si>
  <si>
    <t>2. Type it into the yellow Value cell (they are unlocked).</t>
  </si>
  <si>
    <t>3. Update the As-of date next to it and the workbook data as-of date above. Everything downstream recalculates on its own.</t>
  </si>
  <si>
    <t>Checks - regression harness (unit + integration)</t>
  </si>
  <si>
    <t>Unit tests use fixed inputs against the live seed cells; integration tests read actual model cells. If you edit tax seeds, re-baseline the LTCG unit rows (7, 8, 23).</t>
  </si>
  <si>
    <t>#</t>
  </si>
  <si>
    <t>Check</t>
  </si>
  <si>
    <t>Expected</t>
  </si>
  <si>
    <t>Actual</t>
  </si>
  <si>
    <t>Result</t>
  </si>
  <si>
    <t>Notes</t>
  </si>
  <si>
    <t>Emergency-fund runway</t>
  </si>
  <si>
    <t>unit</t>
  </si>
  <si>
    <t>$12k cash / $4k monthly expenses</t>
  </si>
  <si>
    <t>Debt payoff closed form</t>
  </si>
  <si>
    <t>NPER vs log closed form</t>
  </si>
  <si>
    <t>Compound interest</t>
  </si>
  <si>
    <t>Inflation deflator</t>
  </si>
  <si>
    <t>BTC to sats</t>
  </si>
  <si>
    <t>0.5 BTC</t>
  </si>
  <si>
    <t>Sats integration (Dashboard)</t>
  </si>
  <si>
    <t>integration</t>
  </si>
  <si>
    <t>LTCG fully in 0% band</t>
  </si>
  <si>
    <t>Ord $20k + LTCG $10k, single seeds</t>
  </si>
  <si>
    <t>LTCG straddling 0%/15%</t>
  </si>
  <si>
    <t>Ord $40k + LTCG $20k vs 2026 single seeds</t>
  </si>
  <si>
    <t>Cash-flow spine: savings rate</t>
  </si>
  <si>
    <t>Dashboard == Budget to the penny</t>
  </si>
  <si>
    <t>Annual surplus &gt; 0 at defaults</t>
  </si>
  <si>
    <t>&gt; 0</t>
  </si>
  <si>
    <t>Net worth single source</t>
  </si>
  <si>
    <t>Dashboard == Assumptions == Tracker latest</t>
  </si>
  <si>
    <t>BTC glidepaths differ</t>
  </si>
  <si>
    <t>all different</t>
  </si>
  <si>
    <t>Terminal Normal-path prices, +60y</t>
  </si>
  <si>
    <t>Include-BTC stability</t>
  </si>
  <si>
    <t>Enforced under Normal stress. Zero-BTC users pass on equality; stress paths legitimately move WithBTC.</t>
  </si>
  <si>
    <t>Zero-BTC coherence</t>
  </si>
  <si>
    <t>&gt; 0 and finite</t>
  </si>
  <si>
    <t>Stack 0 / DCA 0 user: all contributions to the market mix</t>
  </si>
  <si>
    <t>No BTC-path cell errors</t>
  </si>
  <si>
    <t>Scans CAGR, prices, units, values, totals, flags</t>
  </si>
  <si>
    <t>FI numbers distinct</t>
  </si>
  <si>
    <t>Portfolio-only vs after-SS/pension</t>
  </si>
  <si>
    <t>Housing renting string (fixture)</t>
  </si>
  <si>
    <t>Favors renting / no simple break-even</t>
  </si>
  <si>
    <t>Own $30k/yr vs rent $6k/yr must return the string</t>
  </si>
  <si>
    <t>Housing live break-even valid</t>
  </si>
  <si>
    <t>1-30 or renting string</t>
  </si>
  <si>
    <t>Drawdown tax == Tax Center engine</t>
  </si>
  <si>
    <t>Same bracket walk on fixed $100k</t>
  </si>
  <si>
    <t>Allocations sum to 100%</t>
  </si>
  <si>
    <t>No template artifacts in Tool Library</t>
  </si>
  <si>
    <t>Scans for {{, ${, RUNG</t>
  </si>
  <si>
    <t>No errors on key output sheets</t>
  </si>
  <si>
    <t>Dashboard, FIRE, Tax, Drawdown output blocks</t>
  </si>
  <si>
    <t>LTCG uses leftover deduction</t>
  </si>
  <si>
    <t>Ord $10k + LTCG $60k, single seeds: unused deduction shelters gains (QDCGT worksheet)</t>
  </si>
  <si>
    <t>Checks run</t>
  </si>
  <si>
    <t>Passed</t>
  </si>
  <si>
    <t>Pass rate</t>
  </si>
  <si>
    <t>No FAILs anywhere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</si>
</sst>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.00"/>
    <numFmt numFmtId="165" formatCode="yyyy\-mm\-dd"/>
    <numFmt numFmtId="166" formatCode="\$#,##0"/>
    <numFmt numFmtId="167" formatCode="0.0%"/>
    <numFmt numFmtId="168" formatCode="0.0000"/>
  </numFmts>
  <fonts count="18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808080"/>
      <name val="Calibri"/>
    </font>
    <font>
      <b/>
      <sz val="11"/>
      <color rgb="FFFFFFFF"/>
      <name val="Calibri"/>
    </font>
    <font>
      <sz val="11"/>
      <name val="Calibri"/>
    </font>
    <font>
      <sz val="11"/>
      <color rgb="FF1F4E79"/>
      <name val="Calibri"/>
    </font>
    <font>
      <b/>
      <sz val="11"/>
      <name val="Calibri"/>
    </font>
    <font>
      <sz val="11"/>
      <color rgb="FF000000"/>
      <name val="Calibri"/>
    </font>
    <font>
      <sz val="11"/>
      <color rgb="FF006100"/>
      <name val="Calibri"/>
    </font>
    <font>
      <b/>
      <sz val="11"/>
      <color rgb="FF006100"/>
      <name val="Calibri"/>
    </font>
    <font>
      <i/>
      <sz val="12"/>
      <color rgb="FF1F2A44"/>
      <name val="Calibri"/>
    </font>
    <font>
      <b/>
      <sz val="12"/>
      <color rgb="FF0061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sz val="10"/>
      <color rgb="FFF7931A"/>
      <name val="Consolas"/>
    </font>
    <font>
      <u/>
      <sz val="11"/>
      <color rgb="FF1F4E79"/>
      <name val="Calibri"/>
    </font>
    <font>
      <b/>
      <sz val="12"/>
      <color rgb="FF1F2A44"/>
      <name val="Calibri"/>
    </font>
    <font>
      <u/>
      <sz val="12"/>
      <color rgb="FF1F4E7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2A44"/>
      </patternFill>
    </fill>
    <fill>
      <patternFill patternType="solid">
        <fgColor rgb="FF2E3B55"/>
      </patternFill>
    </fill>
    <fill>
      <patternFill patternType="solid">
        <fgColor rgb="FFDDEBF7"/>
      </patternFill>
    </fill>
    <fill>
      <patternFill patternType="solid">
        <fgColor rgb="FFFFF2CC"/>
      </patternFill>
    </fill>
  </fills>
  <borders count="3">
    <border>
      <left/>
      <right/>
      <top/>
      <bottom/>
      <diagonal/>
    </border>
    <border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>
      <left style="thin">
        <color rgb="FFD8B26E"/>
      </left>
      <right style="thin">
        <color rgb="FFD8B26E"/>
      </right>
      <top style="thin">
        <color rgb="FFD8B26E"/>
      </top>
      <bottom style="thin">
        <color rgb="FFD8B26E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6" fillId="0" borderId="0" xfId="0" applyFont="1"/>
    <xf numFmtId="0" fontId="3" fillId="3" borderId="0" xfId="0" applyFont="1" applyFill="1"/>
    <xf numFmtId="0" fontId="17" fillId="0" borderId="0" xfId="0" applyFont="1"/>
    <xf numFmtId="0" fontId="5" fillId="4" borderId="1" xfId="0" applyFont="1" applyFill="1" applyBorder="1" applyProtection="1">
      <protection locked="0"/>
    </xf>
    <xf numFmtId="0" fontId="4" fillId="0" borderId="0" xfId="0" applyFont="1"/>
    <xf numFmtId="0" fontId="5" fillId="5" borderId="2" xfId="0" applyFont="1" applyFill="1" applyBorder="1" applyProtection="1">
      <protection locked="0"/>
    </xf>
    <xf numFmtId="0" fontId="7" fillId="0" borderId="0" xfId="0" applyFont="1"/>
    <xf numFmtId="0" fontId="8" fillId="0" borderId="0" xfId="0" applyFont="1"/>
    <xf numFmtId="0" fontId="15" fillId="0" borderId="0" xfId="0" applyFont="1"/>
    <xf numFmtId="0" fontId="2" fillId="0" borderId="0" xfId="0" applyFont="1"/>
    <xf numFmtId="165" fontId="8" fillId="0" borderId="0" xfId="0" applyNumberFormat="1" applyFont="1"/>
    <xf numFmtId="0" fontId="6" fillId="0" borderId="0" xfId="0" applyFont="1"/>
    <xf numFmtId="166" fontId="11" fillId="0" borderId="0" xfId="0" applyNumberFormat="1" applyFont="1"/>
    <xf numFmtId="167" fontId="11" fillId="0" borderId="0" xfId="0" applyNumberFormat="1" applyFont="1"/>
    <xf numFmtId="4" fontId="12" fillId="0" borderId="0" xfId="0" applyNumberFormat="1" applyFont="1"/>
    <xf numFmtId="0" fontId="12" fillId="0" borderId="0" xfId="0" applyFont="1"/>
    <xf numFmtId="167" fontId="12" fillId="0" borderId="0" xfId="0" applyNumberFormat="1" applyFont="1"/>
    <xf numFmtId="166" fontId="13" fillId="0" borderId="0" xfId="0" applyNumberFormat="1" applyFont="1"/>
    <xf numFmtId="0" fontId="11" fillId="0" borderId="0" xfId="0" applyFont="1"/>
    <xf numFmtId="168" fontId="11" fillId="0" borderId="0" xfId="0" applyNumberFormat="1" applyFont="1"/>
    <xf numFmtId="3" fontId="12" fillId="0" borderId="0" xfId="0" applyNumberFormat="1" applyFont="1"/>
    <xf numFmtId="166" fontId="12" fillId="0" borderId="0" xfId="0" applyNumberFormat="1" applyFont="1"/>
    <xf numFmtId="167" fontId="7" fillId="0" borderId="0" xfId="0" applyNumberFormat="1" applyFont="1"/>
    <xf numFmtId="0" fontId="14" fillId="0" borderId="0" xfId="0" applyFont="1"/>
    <xf numFmtId="166" fontId="5" fillId="4" borderId="1" xfId="0" applyNumberFormat="1" applyFont="1" applyFill="1" applyBorder="1" applyProtection="1">
      <protection locked="0"/>
    </xf>
    <xf numFmtId="166" fontId="6" fillId="0" borderId="0" xfId="0" applyNumberFormat="1" applyFont="1"/>
    <xf numFmtId="166" fontId="8" fillId="0" borderId="0" xfId="0" applyNumberFormat="1" applyFont="1"/>
    <xf numFmtId="166" fontId="7" fillId="0" borderId="0" xfId="0" applyNumberFormat="1" applyFont="1"/>
    <xf numFmtId="167" fontId="6" fillId="0" borderId="0" xfId="0" applyNumberFormat="1" applyFont="1"/>
    <xf numFmtId="1" fontId="5" fillId="4" borderId="1" xfId="0" applyNumberFormat="1" applyFont="1" applyFill="1" applyBorder="1" applyProtection="1">
      <protection locked="0"/>
    </xf>
    <xf numFmtId="10" fontId="5" fillId="4" borderId="1" xfId="0" applyNumberFormat="1" applyFont="1" applyFill="1" applyBorder="1" applyProtection="1">
      <protection locked="0"/>
    </xf>
    <xf numFmtId="167" fontId="5" fillId="4" borderId="1" xfId="0" applyNumberFormat="1" applyFont="1" applyFill="1" applyBorder="1" applyProtection="1">
      <protection locked="0"/>
    </xf>
    <xf numFmtId="168" fontId="5" fillId="4" borderId="1" xfId="0" applyNumberFormat="1" applyFont="1" applyFill="1" applyBorder="1" applyProtection="1">
      <protection locked="0"/>
    </xf>
    <xf numFmtId="164" fontId="8" fillId="0" borderId="0" xfId="0" applyNumberFormat="1" applyFont="1"/>
    <xf numFmtId="10" fontId="7" fillId="0" borderId="0" xfId="0" applyNumberFormat="1" applyFont="1"/>
    <xf numFmtId="4" fontId="5" fillId="4" borderId="1" xfId="0" applyNumberFormat="1" applyFont="1" applyFill="1" applyBorder="1" applyProtection="1">
      <protection locked="0"/>
    </xf>
    <xf numFmtId="166" fontId="9" fillId="0" borderId="0" xfId="0" applyNumberFormat="1" applyFont="1"/>
    <xf numFmtId="165" fontId="5" fillId="4" borderId="1" xfId="0" applyNumberFormat="1" applyFont="1" applyFill="1" applyBorder="1" applyProtection="1">
      <protection locked="0"/>
    </xf>
    <xf numFmtId="1" fontId="7" fillId="0" borderId="0" xfId="0" applyNumberFormat="1" applyFont="1"/>
    <xf numFmtId="164" fontId="7" fillId="0" borderId="0" xfId="0" applyNumberFormat="1" applyFont="1"/>
    <xf numFmtId="164" fontId="6" fillId="0" borderId="0" xfId="0" applyNumberFormat="1" applyFont="1"/>
    <xf numFmtId="10" fontId="8" fillId="0" borderId="0" xfId="0" applyNumberFormat="1" applyFont="1"/>
    <xf numFmtId="166" fontId="5" fillId="5" borderId="2" xfId="0" applyNumberFormat="1" applyFont="1" applyFill="1" applyBorder="1" applyProtection="1">
      <protection locked="0"/>
    </xf>
    <xf numFmtId="167" fontId="5" fillId="5" borderId="2" xfId="0" applyNumberFormat="1" applyFont="1" applyFill="1" applyBorder="1" applyProtection="1">
      <protection locked="0"/>
    </xf>
    <xf numFmtId="10" fontId="5" fillId="5" borderId="2" xfId="0" applyNumberFormat="1" applyFont="1" applyFill="1" applyBorder="1" applyProtection="1">
      <protection locked="0"/>
    </xf>
    <xf numFmtId="4" fontId="7" fillId="0" borderId="0" xfId="0" applyNumberFormat="1" applyFont="1"/>
    <xf numFmtId="165" fontId="7" fillId="0" borderId="0" xfId="0" applyNumberFormat="1" applyFont="1"/>
    <xf numFmtId="167" fontId="8" fillId="0" borderId="0" xfId="0" applyNumberFormat="1" applyFont="1"/>
    <xf numFmtId="167" fontId="9" fillId="0" borderId="0" xfId="0" applyNumberFormat="1" applyFont="1"/>
    <xf numFmtId="168" fontId="8" fillId="0" borderId="0" xfId="0" applyNumberFormat="1" applyFont="1"/>
    <xf numFmtId="3" fontId="7" fillId="0" borderId="0" xfId="0" applyNumberFormat="1" applyFont="1"/>
    <xf numFmtId="3" fontId="5" fillId="4" borderId="1" xfId="0" applyNumberFormat="1" applyFont="1" applyFill="1" applyBorder="1" applyProtection="1">
      <protection locked="0"/>
    </xf>
    <xf numFmtId="3" fontId="8" fillId="0" borderId="0" xfId="0" applyNumberFormat="1" applyFont="1"/>
    <xf numFmtId="168" fontId="7" fillId="0" borderId="0" xfId="0" applyNumberFormat="1" applyFont="1"/>
    <xf numFmtId="164" fontId="5" fillId="4" borderId="1" xfId="0" applyNumberFormat="1" applyFont="1" applyFill="1" applyBorder="1" applyProtection="1">
      <protection locked="0"/>
    </xf>
    <xf numFmtId="165" fontId="4" fillId="0" borderId="0" xfId="0" applyNumberFormat="1" applyFont="1"/>
    <xf numFmtId="0" fontId="3" fillId="3" borderId="0" xfId="0" applyFont="1" applyFill="1"/>
    <xf numFmtId="0" fontId="0" fillId="3" borderId="0" xfId="0" applyFill="1"/>
    <xf numFmtId="0" fontId="1" fillId="2" borderId="0" xfId="0" applyFont="1" applyFill="1" applyAlignment="1">
      <alignment vertical="center"/>
    </xf>
    <xf numFmtId="0" fontId="0" fillId="2" borderId="0" xfId="0" applyFill="1"/>
    <xf numFmtId="0" fontId="10" fillId="0" borderId="0" xfId="0" applyFont="1"/>
    <xf numFmtId="0" fontId="0" fillId="0" borderId="0" xfId="0"/>
  </cellXfs>
  <cellStyles count="1">
    <cellStyle name="Normal" xfId="0" builtinId="0"/>
  </cellStyles>
  <dxfs count="13">
    <dxf>
      <fill>
        <patternFill patternType="solid">
          <fgColor rgb="FFE2EFDA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EFD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 projection by age (WithBTC unless noted)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Conservative</c:v>
          </c:tx>
          <c:spPr>
            <a:ln w="25400" cap="rnd">
              <a:solidFill>
                <a:srgbClr val="8C8C8C"/>
              </a:solidFill>
              <a:round/>
            </a:ln>
            <a:effectLst/>
          </c:spPr>
          <c:marker>
            <c:symbol val="none"/>
          </c:marker>
          <c:cat>
            <c:numRef>
              <c:f>Projections!$C$4:$C$64</c:f>
              <c:numCache>
                <c:formatCode>0</c:formatCode>
                <c:ptCount val="6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</c:numCache>
            </c:numRef>
          </c:cat>
          <c:val>
            <c:numRef>
              <c:f>Projections!$V$4:$V$64</c:f>
              <c:numCache>
                <c:formatCode>\$#,##0</c:formatCode>
                <c:ptCount val="61"/>
                <c:pt idx="0">
                  <c:v>75016.399999999994</c:v>
                </c:pt>
                <c:pt idx="1">
                  <c:v>100777.97440000001</c:v>
                </c:pt>
                <c:pt idx="2">
                  <c:v>127966.61471146667</c:v>
                </c:pt>
                <c:pt idx="3">
                  <c:v>156616.57465496461</c:v>
                </c:pt>
                <c:pt idx="4">
                  <c:v>186756.64948816237</c:v>
                </c:pt>
                <c:pt idx="5">
                  <c:v>218409.7522861805</c:v>
                </c:pt>
                <c:pt idx="6">
                  <c:v>251592.59999163379</c:v>
                </c:pt>
                <c:pt idx="7">
                  <c:v>286315.52912825532</c:v>
                </c:pt>
                <c:pt idx="8">
                  <c:v>322582.45944893127</c:v>
                </c:pt>
                <c:pt idx="9">
                  <c:v>360391.02143055253</c:v>
                </c:pt>
                <c:pt idx="10">
                  <c:v>399732.86044887092</c:v>
                </c:pt>
                <c:pt idx="11">
                  <c:v>440594.12671135896</c:v>
                </c:pt>
                <c:pt idx="12">
                  <c:v>482956.15567088575</c:v>
                </c:pt>
                <c:pt idx="13">
                  <c:v>526796.33879455505</c:v>
                </c:pt>
                <c:pt idx="14">
                  <c:v>572089.17935568211</c:v>
                </c:pt>
                <c:pt idx="15">
                  <c:v>618807.5225131982</c:v>
                </c:pt>
                <c:pt idx="16">
                  <c:v>666923.94352243631</c:v>
                </c:pt>
                <c:pt idx="17">
                  <c:v>716412.27267864055</c:v>
                </c:pt>
                <c:pt idx="18">
                  <c:v>767249.23073015595</c:v>
                </c:pt>
                <c:pt idx="19">
                  <c:v>819416.1442103202</c:v>
                </c:pt>
                <c:pt idx="20">
                  <c:v>872900.70661265764</c:v>
                </c:pt>
                <c:pt idx="21">
                  <c:v>928567.8564545305</c:v>
                </c:pt>
                <c:pt idx="22">
                  <c:v>986511.69677874353</c:v>
                </c:pt>
                <c:pt idx="23">
                  <c:v>1046830.4998142862</c:v>
                </c:pt>
                <c:pt idx="24">
                  <c:v>1109626.8940430719</c:v>
                </c:pt>
                <c:pt idx="25">
                  <c:v>1175008.0597083066</c:v>
                </c:pt>
                <c:pt idx="26">
                  <c:v>1243085.9331464041</c:v>
                </c:pt>
                <c:pt idx="27">
                  <c:v>1313977.4203416551</c:v>
                </c:pt>
                <c:pt idx="28">
                  <c:v>1387804.6201209431</c:v>
                </c:pt>
                <c:pt idx="29">
                  <c:v>1464695.0574247015</c:v>
                </c:pt>
                <c:pt idx="30">
                  <c:v>1544781.9271100624</c:v>
                </c:pt>
                <c:pt idx="31">
                  <c:v>1628204.3487628016</c:v>
                </c:pt>
                <c:pt idx="32">
                  <c:v>1715107.6330162736</c:v>
                </c:pt>
                <c:pt idx="33">
                  <c:v>1805643.5598980943</c:v>
                </c:pt>
                <c:pt idx="34">
                  <c:v>1899970.6697489256</c:v>
                </c:pt>
                <c:pt idx="35">
                  <c:v>1998254.5672823703</c:v>
                </c:pt>
                <c:pt idx="36">
                  <c:v>2100668.239380761</c:v>
                </c:pt>
                <c:pt idx="37">
                  <c:v>2207392.3872485776</c:v>
                </c:pt>
                <c:pt idx="38">
                  <c:v>2318615.773573386</c:v>
                </c:pt>
                <c:pt idx="39">
                  <c:v>2434535.5853736429</c:v>
                </c:pt>
                <c:pt idx="40">
                  <c:v>2555357.8132434771</c:v>
                </c:pt>
                <c:pt idx="41">
                  <c:v>2681297.6477367352</c:v>
                </c:pt>
                <c:pt idx="42">
                  <c:v>2812579.8936662115</c:v>
                </c:pt>
                <c:pt idx="43">
                  <c:v>2949439.4031291325</c:v>
                </c:pt>
                <c:pt idx="44">
                  <c:v>3092121.5281067071</c:v>
                </c:pt>
                <c:pt idx="45">
                  <c:v>3240882.5935239792</c:v>
                </c:pt>
                <c:pt idx="46">
                  <c:v>3395990.3916963632</c:v>
                </c:pt>
                <c:pt idx="47">
                  <c:v>3557724.6991312145</c:v>
                </c:pt>
                <c:pt idx="48">
                  <c:v>3726377.8166966713</c:v>
                </c:pt>
                <c:pt idx="49">
                  <c:v>3902255.1342158588</c:v>
                </c:pt>
                <c:pt idx="50">
                  <c:v>4085675.7205924951</c:v>
                </c:pt>
                <c:pt idx="51">
                  <c:v>4276972.9406240499</c:v>
                </c:pt>
                <c:pt idx="52">
                  <c:v>4476495.0997109953</c:v>
                </c:pt>
                <c:pt idx="53">
                  <c:v>4684606.1177254543</c:v>
                </c:pt>
                <c:pt idx="54">
                  <c:v>4901686.2333597876</c:v>
                </c:pt>
                <c:pt idx="55">
                  <c:v>5128132.7403354924</c:v>
                </c:pt>
                <c:pt idx="56">
                  <c:v>5364360.7569153644</c:v>
                </c:pt>
                <c:pt idx="57">
                  <c:v>5610804.0302272169</c:v>
                </c:pt>
                <c:pt idx="58">
                  <c:v>5867915.7769758403</c:v>
                </c:pt>
                <c:pt idx="59">
                  <c:v>6136169.562191302</c:v>
                </c:pt>
                <c:pt idx="60">
                  <c:v>6416060.2177363811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33-4872-8AF8-5BB23B536E7B}"/>
            </c:ext>
          </c:extLst>
        </c:ser>
        <c:ser>
          <c:idx val="1"/>
          <c:order val="1"/>
          <c:tx>
            <c:v>Base</c:v>
          </c:tx>
          <c:spPr>
            <a:ln w="25400" cap="rnd">
              <a:solidFill>
                <a:srgbClr val="F7931A"/>
              </a:solidFill>
              <a:round/>
            </a:ln>
            <a:effectLst/>
          </c:spPr>
          <c:marker>
            <c:symbol val="none"/>
          </c:marker>
          <c:cat>
            <c:numRef>
              <c:f>Projections!$C$4:$C$64</c:f>
              <c:numCache>
                <c:formatCode>0</c:formatCode>
                <c:ptCount val="6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</c:numCache>
            </c:numRef>
          </c:cat>
          <c:val>
            <c:numRef>
              <c:f>Projections!$W$4:$W$64</c:f>
              <c:numCache>
                <c:formatCode>\$#,##0</c:formatCode>
                <c:ptCount val="61"/>
                <c:pt idx="0">
                  <c:v>75016.399999999994</c:v>
                </c:pt>
                <c:pt idx="1">
                  <c:v>104020.336</c:v>
                </c:pt>
                <c:pt idx="2">
                  <c:v>136211.67994666664</c:v>
                </c:pt>
                <c:pt idx="3">
                  <c:v>171913.13842382221</c:v>
                </c:pt>
                <c:pt idx="4">
                  <c:v>211445.79823356558</c:v>
                </c:pt>
                <c:pt idx="5">
                  <c:v>255118.40869756264</c:v>
                </c:pt>
                <c:pt idx="6">
                  <c:v>303214.92186287319</c:v>
                </c:pt>
                <c:pt idx="7">
                  <c:v>355980.63702627085</c:v>
                </c:pt>
                <c:pt idx="8">
                  <c:v>413607.47811695084</c:v>
                </c:pt>
                <c:pt idx="9">
                  <c:v>476219.1161258478</c:v>
                </c:pt>
                <c:pt idx="10">
                  <c:v>543856.81778443453</c:v>
                </c:pt>
                <c:pt idx="11">
                  <c:v>616467.03750717198</c:v>
                </c:pt>
                <c:pt idx="12">
                  <c:v>693891.85269991693</c:v>
                </c:pt>
                <c:pt idx="13">
                  <c:v>775863.35436025285</c:v>
                </c:pt>
                <c:pt idx="14">
                  <c:v>862003.03014696308</c:v>
                </c:pt>
                <c:pt idx="15">
                  <c:v>951827.00606310042</c:v>
                </c:pt>
                <c:pt idx="16">
                  <c:v>1044757.7436525606</c:v>
                </c:pt>
                <c:pt idx="17">
                  <c:v>1140142.429700945</c:v>
                </c:pt>
                <c:pt idx="18">
                  <c:v>1237277.8627552395</c:v>
                </c:pt>
                <c:pt idx="19">
                  <c:v>1335441.1633720575</c:v>
                </c:pt>
                <c:pt idx="20">
                  <c:v>1433925.1495890557</c:v>
                </c:pt>
                <c:pt idx="21">
                  <c:v>1538189.7572266352</c:v>
                </c:pt>
                <c:pt idx="22">
                  <c:v>1648578.2574227755</c:v>
                </c:pt>
                <c:pt idx="23">
                  <c:v>1765454.5200765936</c:v>
                </c:pt>
                <c:pt idx="24">
                  <c:v>1889204.261349339</c:v>
                </c:pt>
                <c:pt idx="25">
                  <c:v>2020236.3673194202</c:v>
                </c:pt>
                <c:pt idx="26">
                  <c:v>2158984.2984718373</c:v>
                </c:pt>
                <c:pt idx="27">
                  <c:v>2305907.5799916834</c:v>
                </c:pt>
                <c:pt idx="28">
                  <c:v>2461493.383138618</c:v>
                </c:pt>
                <c:pt idx="29">
                  <c:v>2626258.2033055648</c:v>
                </c:pt>
                <c:pt idx="30">
                  <c:v>2800749.6407114933</c:v>
                </c:pt>
                <c:pt idx="31">
                  <c:v>2985548.2900462928</c:v>
                </c:pt>
                <c:pt idx="32">
                  <c:v>3181269.7457767827</c:v>
                </c:pt>
                <c:pt idx="33">
                  <c:v>3388566.7302382495</c:v>
                </c:pt>
                <c:pt idx="34">
                  <c:v>3608131.3520770548</c:v>
                </c:pt>
                <c:pt idx="35">
                  <c:v>3840697.503078504</c:v>
                </c:pt>
                <c:pt idx="36">
                  <c:v>4087043.4019118734</c:v>
                </c:pt>
                <c:pt idx="37">
                  <c:v>4347994.2938532764</c:v>
                </c:pt>
                <c:pt idx="38">
                  <c:v>4624425.3161086505</c:v>
                </c:pt>
                <c:pt idx="39">
                  <c:v>4917264.5389557648</c:v>
                </c:pt>
                <c:pt idx="40">
                  <c:v>5227496.1935578752</c:v>
                </c:pt>
                <c:pt idx="41">
                  <c:v>5556164.0979748648</c:v>
                </c:pt>
                <c:pt idx="42">
                  <c:v>5904375.2936128452</c:v>
                </c:pt>
                <c:pt idx="43">
                  <c:v>6273303.9051128775</c:v>
                </c:pt>
                <c:pt idx="44">
                  <c:v>6664195.2374864724</c:v>
                </c:pt>
                <c:pt idx="45">
                  <c:v>7078370.1251628846</c:v>
                </c:pt>
                <c:pt idx="46">
                  <c:v>7517229.5485239159</c:v>
                </c:pt>
                <c:pt idx="47">
                  <c:v>7982259.5344695151</c:v>
                </c:pt>
                <c:pt idx="48">
                  <c:v>8475036.3585852887</c:v>
                </c:pt>
                <c:pt idx="49">
                  <c:v>8997232.06757503</c:v>
                </c:pt>
                <c:pt idx="50">
                  <c:v>9550620.3417814225</c:v>
                </c:pt>
                <c:pt idx="51">
                  <c:v>10137082.718850553</c:v>
                </c:pt>
                <c:pt idx="52">
                  <c:v>10758615.200905209</c:v>
                </c:pt>
                <c:pt idx="53">
                  <c:v>11417335.268983033</c:v>
                </c:pt>
                <c:pt idx="54">
                  <c:v>12115489.329973478</c:v>
                </c:pt>
                <c:pt idx="55">
                  <c:v>12855460.622857725</c:v>
                </c:pt>
                <c:pt idx="56">
                  <c:v>13639777.612723939</c:v>
                </c:pt>
                <c:pt idx="57">
                  <c:v>14471122.902802607</c:v>
                </c:pt>
                <c:pt idx="58">
                  <c:v>15352342.696649898</c:v>
                </c:pt>
                <c:pt idx="59">
                  <c:v>16286456.844607674</c:v>
                </c:pt>
                <c:pt idx="60">
                  <c:v>17276669.51079461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33-4872-8AF8-5BB23B536E7B}"/>
            </c:ext>
          </c:extLst>
        </c:ser>
        <c:ser>
          <c:idx val="2"/>
          <c:order val="2"/>
          <c:tx>
            <c:v>Aggressive</c:v>
          </c:tx>
          <c:spPr>
            <a:ln w="25400" cap="rnd">
              <a:solidFill>
                <a:srgbClr val="1F2A44"/>
              </a:solidFill>
              <a:round/>
            </a:ln>
            <a:effectLst/>
          </c:spPr>
          <c:marker>
            <c:symbol val="none"/>
          </c:marker>
          <c:cat>
            <c:numRef>
              <c:f>Projections!$C$4:$C$64</c:f>
              <c:numCache>
                <c:formatCode>0</c:formatCode>
                <c:ptCount val="6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</c:numCache>
            </c:numRef>
          </c:cat>
          <c:val>
            <c:numRef>
              <c:f>Projections!$X$4:$X$64</c:f>
              <c:numCache>
                <c:formatCode>\$#,##0</c:formatCode>
                <c:ptCount val="61"/>
                <c:pt idx="0">
                  <c:v>75016.399999999994</c:v>
                </c:pt>
                <c:pt idx="1">
                  <c:v>107742.6976</c:v>
                </c:pt>
                <c:pt idx="2">
                  <c:v>146263.95698346666</c:v>
                </c:pt>
                <c:pt idx="3">
                  <c:v>191756.78017053579</c:v>
                </c:pt>
                <c:pt idx="4">
                  <c:v>245564.95750688767</c:v>
                </c:pt>
                <c:pt idx="5">
                  <c:v>309185.13166183548</c:v>
                </c:pt>
                <c:pt idx="6">
                  <c:v>384235.66330038721</c:v>
                </c:pt>
                <c:pt idx="7">
                  <c:v>472405.34421618562</c:v>
                </c:pt>
                <c:pt idx="8">
                  <c:v>575379.58451547381</c:v>
                </c:pt>
                <c:pt idx="9">
                  <c:v>694743.36290985451</c:v>
                </c:pt>
                <c:pt idx="10">
                  <c:v>831862.59579917463</c:v>
                </c:pt>
                <c:pt idx="11">
                  <c:v>987748.57008169719</c:v>
                </c:pt>
                <c:pt idx="12">
                  <c:v>1162913.485385498</c:v>
                </c:pt>
                <c:pt idx="13">
                  <c:v>1357228.6123987008</c:v>
                </c:pt>
                <c:pt idx="14">
                  <c:v>1569799.6162655116</c:v>
                </c:pt>
                <c:pt idx="15">
                  <c:v>1798875.6524440548</c:v>
                </c:pt>
                <c:pt idx="16">
                  <c:v>2041809.3374527365</c:v>
                </c:pt>
                <c:pt idx="17">
                  <c:v>2295083.1322859479</c:v>
                </c:pt>
                <c:pt idx="18">
                  <c:v>2554413.7502647191</c:v>
                </c:pt>
                <c:pt idx="19">
                  <c:v>2814939.9126242353</c:v>
                </c:pt>
                <c:pt idx="20">
                  <c:v>3071490.5009118449</c:v>
                </c:pt>
                <c:pt idx="21">
                  <c:v>3349587.8182406016</c:v>
                </c:pt>
                <c:pt idx="22">
                  <c:v>3651046.962523845</c:v>
                </c:pt>
                <c:pt idx="23">
                  <c:v>3977836.4009646913</c:v>
                </c:pt>
                <c:pt idx="24">
                  <c:v>4332090.9686893504</c:v>
                </c:pt>
                <c:pt idx="25">
                  <c:v>4716125.9724031575</c:v>
                </c:pt>
                <c:pt idx="26">
                  <c:v>5132452.493289602</c:v>
                </c:pt>
                <c:pt idx="27">
                  <c:v>5583793.9914300442</c:v>
                </c:pt>
                <c:pt idx="28">
                  <c:v>6073104.3227702249</c:v>
                </c:pt>
                <c:pt idx="29">
                  <c:v>6603587.2891585883</c:v>
                </c:pt>
                <c:pt idx="30">
                  <c:v>7178717.8522953186</c:v>
                </c:pt>
                <c:pt idx="31">
                  <c:v>7802265.1536300136</c:v>
                </c:pt>
                <c:pt idx="32">
                  <c:v>8478317.4944063127</c:v>
                </c:pt>
                <c:pt idx="33">
                  <c:v>9211309.4432561249</c:v>
                </c:pt>
                <c:pt idx="34">
                  <c:v>10006051.253084481</c:v>
                </c:pt>
                <c:pt idx="35">
                  <c:v>10867760.784555966</c:v>
                </c:pt>
                <c:pt idx="36">
                  <c:v>11802098.150401246</c:v>
                </c:pt>
                <c:pt idx="37">
                  <c:v>12815203.313122701</c:v>
                </c:pt>
                <c:pt idx="38">
                  <c:v>13913736.888616789</c:v>
                </c:pt>
                <c:pt idx="39">
                  <c:v>15104924.429883424</c:v>
                </c:pt>
                <c:pt idx="40">
                  <c:v>16396604.48850723</c:v>
                </c:pt>
                <c:pt idx="41">
                  <c:v>17797280.777132429</c:v>
                </c:pt>
                <c:pt idx="42">
                  <c:v>19316178.783886965</c:v>
                </c:pt>
                <c:pt idx="43">
                  <c:v>20963307.219831366</c:v>
                </c:pt>
                <c:pt idx="44">
                  <c:v>22749524.713220172</c:v>
                </c:pt>
                <c:pt idx="45">
                  <c:v>24686612.199891753</c:v>
                </c:pt>
                <c:pt idx="46">
                  <c:v>26787351.49768924</c:v>
                </c:pt>
                <c:pt idx="47">
                  <c:v>29065610.594725214</c:v>
                </c:pt>
                <c:pt idx="48">
                  <c:v>31536436.226822454</c:v>
                </c:pt>
                <c:pt idx="49">
                  <c:v>34216154.368904531</c:v>
                </c:pt>
                <c:pt idx="50">
                  <c:v>37122479.318811476</c:v>
                </c:pt>
                <c:pt idx="51">
                  <c:v>40274632.11034622</c:v>
                </c:pt>
                <c:pt idx="52">
                  <c:v>43693469.055715755</c:v>
                </c:pt>
                <c:pt idx="53">
                  <c:v>47401621.286352575</c:v>
                </c:pt>
                <c:pt idx="54">
                  <c:v>51423646.235859066</c:v>
                </c:pt>
                <c:pt idx="55">
                  <c:v>55786192.090022184</c:v>
                </c:pt>
                <c:pt idx="56">
                  <c:v>60518176.317057982</c:v>
                </c:pt>
                <c:pt idx="57">
                  <c:v>65650979.487068474</c:v>
                </c:pt>
                <c:pt idx="58">
                  <c:v>71218655.693788201</c:v>
                </c:pt>
                <c:pt idx="59">
                  <c:v>77258161.004778177</c:v>
                </c:pt>
                <c:pt idx="60">
                  <c:v>83809601.489070863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33-4872-8AF8-5BB23B536E7B}"/>
            </c:ext>
          </c:extLst>
        </c:ser>
        <c:ser>
          <c:idx val="3"/>
          <c:order val="3"/>
          <c:tx>
            <c:v>Base - no BTC</c:v>
          </c:tx>
          <c:spPr>
            <a:ln w="25400" cap="rnd">
              <a:solidFill>
                <a:srgbClr val="2E7D3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Projections!$C$4:$C$64</c:f>
              <c:numCache>
                <c:formatCode>0</c:formatCode>
                <c:ptCount val="6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</c:numCache>
            </c:numRef>
          </c:cat>
          <c:val>
            <c:numRef>
              <c:f>Projections!$Z$4:$Z$64</c:f>
              <c:numCache>
                <c:formatCode>\$#,##0</c:formatCode>
                <c:ptCount val="61"/>
                <c:pt idx="0">
                  <c:v>75016.399999999994</c:v>
                </c:pt>
                <c:pt idx="1">
                  <c:v>101367.43866666665</c:v>
                </c:pt>
                <c:pt idx="2">
                  <c:v>129387.37644888887</c:v>
                </c:pt>
                <c:pt idx="3">
                  <c:v>159181.91029065181</c:v>
                </c:pt>
                <c:pt idx="4">
                  <c:v>190863.43127572641</c:v>
                </c:pt>
                <c:pt idx="5">
                  <c:v>224551.44858985575</c:v>
                </c:pt>
                <c:pt idx="6">
                  <c:v>260373.04033387994</c:v>
                </c:pt>
                <c:pt idx="7">
                  <c:v>298463.33288835897</c:v>
                </c:pt>
                <c:pt idx="8">
                  <c:v>338966.01063795498</c:v>
                </c:pt>
                <c:pt idx="9">
                  <c:v>382033.85797835875</c:v>
                </c:pt>
                <c:pt idx="10">
                  <c:v>427829.33565032145</c:v>
                </c:pt>
                <c:pt idx="11">
                  <c:v>476525.19357484177</c:v>
                </c:pt>
                <c:pt idx="12">
                  <c:v>528305.12250124838</c:v>
                </c:pt>
                <c:pt idx="13">
                  <c:v>583364.44692632742</c:v>
                </c:pt>
                <c:pt idx="14">
                  <c:v>641910.86189832806</c:v>
                </c:pt>
                <c:pt idx="15">
                  <c:v>704165.2164852221</c:v>
                </c:pt>
                <c:pt idx="16">
                  <c:v>770362.34686261939</c:v>
                </c:pt>
                <c:pt idx="17">
                  <c:v>840751.96216391854</c:v>
                </c:pt>
                <c:pt idx="18">
                  <c:v>915599.58643429994</c:v>
                </c:pt>
                <c:pt idx="19">
                  <c:v>995187.56024180551</c:v>
                </c:pt>
                <c:pt idx="20">
                  <c:v>1079816.1057237864</c:v>
                </c:pt>
                <c:pt idx="21">
                  <c:v>1169804.4590862929</c:v>
                </c:pt>
                <c:pt idx="22">
                  <c:v>1265492.0748284247</c:v>
                </c:pt>
                <c:pt idx="23">
                  <c:v>1367239.9062342248</c:v>
                </c:pt>
                <c:pt idx="24">
                  <c:v>1475431.7669623923</c:v>
                </c:pt>
                <c:pt idx="25">
                  <c:v>1590475.7788700103</c:v>
                </c:pt>
                <c:pt idx="26">
                  <c:v>1712805.9115317774</c:v>
                </c:pt>
                <c:pt idx="27">
                  <c:v>1842883.619262123</c:v>
                </c:pt>
                <c:pt idx="28">
                  <c:v>1981199.5818153906</c:v>
                </c:pt>
                <c:pt idx="29">
                  <c:v>2128275.555330365</c:v>
                </c:pt>
                <c:pt idx="30">
                  <c:v>2284666.340501288</c:v>
                </c:pt>
                <c:pt idx="31">
                  <c:v>2450961.8753997027</c:v>
                </c:pt>
                <c:pt idx="32">
                  <c:v>2627789.4608416837</c:v>
                </c:pt>
                <c:pt idx="33">
                  <c:v>2815816.1266949899</c:v>
                </c:pt>
                <c:pt idx="34">
                  <c:v>3015751.148052339</c:v>
                </c:pt>
                <c:pt idx="35">
                  <c:v>3228348.7207623203</c:v>
                </c:pt>
                <c:pt idx="36">
                  <c:v>3454410.8064106004</c:v>
                </c:pt>
                <c:pt idx="37">
                  <c:v>3694790.1574832713</c:v>
                </c:pt>
                <c:pt idx="38">
                  <c:v>3950393.534123878</c:v>
                </c:pt>
                <c:pt idx="39">
                  <c:v>4222185.1246183896</c:v>
                </c:pt>
                <c:pt idx="40">
                  <c:v>4511190.1825108873</c:v>
                </c:pt>
                <c:pt idx="41">
                  <c:v>4818498.89406991</c:v>
                </c:pt>
                <c:pt idx="42">
                  <c:v>5145270.4906943375</c:v>
                </c:pt>
                <c:pt idx="43">
                  <c:v>5492737.6217716448</c:v>
                </c:pt>
                <c:pt idx="44">
                  <c:v>5862211.0044838488</c:v>
                </c:pt>
                <c:pt idx="45">
                  <c:v>6255084.3681011591</c:v>
                </c:pt>
                <c:pt idx="46">
                  <c:v>6672839.7114142319</c:v>
                </c:pt>
                <c:pt idx="47">
                  <c:v>7117052.8931371327</c:v>
                </c:pt>
                <c:pt idx="48">
                  <c:v>7589399.5763691505</c:v>
                </c:pt>
                <c:pt idx="49">
                  <c:v>8091661.5495391963</c:v>
                </c:pt>
                <c:pt idx="50">
                  <c:v>8625733.4476766773</c:v>
                </c:pt>
                <c:pt idx="51">
                  <c:v>9193629.8993628658</c:v>
                </c:pt>
                <c:pt idx="52">
                  <c:v>9797493.1263225134</c:v>
                </c:pt>
                <c:pt idx="53">
                  <c:v>10439601.024322938</c:v>
                </c:pt>
                <c:pt idx="54">
                  <c:v>11122375.755863391</c:v>
                </c:pt>
                <c:pt idx="55">
                  <c:v>11848392.88706807</c:v>
                </c:pt>
                <c:pt idx="56">
                  <c:v>12620391.103249047</c:v>
                </c:pt>
                <c:pt idx="57">
                  <c:v>13441282.539788153</c:v>
                </c:pt>
                <c:pt idx="58">
                  <c:v>14314163.767308068</c:v>
                </c:pt>
                <c:pt idx="59">
                  <c:v>15242327.472570911</c:v>
                </c:pt>
                <c:pt idx="60">
                  <c:v>16229274.879167067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33-4872-8AF8-5BB23B536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419824"/>
        <c:axId val="1325415504"/>
      </c:lineChart>
      <c:catAx>
        <c:axId val="13254198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415504"/>
        <c:crosses val="autoZero"/>
        <c:auto val="1"/>
        <c:lblAlgn val="ctr"/>
        <c:lblOffset val="100"/>
        <c:noMultiLvlLbl val="0"/>
      </c:catAx>
      <c:valAx>
        <c:axId val="132541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,,&quot;M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41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debt at minimum payments (months out)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balance</c:v>
          </c:tx>
          <c:spPr>
            <a:ln w="25400" cap="rnd">
              <a:solidFill>
                <a:srgbClr val="1F2A44"/>
              </a:solidFill>
              <a:round/>
            </a:ln>
            <a:effectLst/>
          </c:spPr>
          <c:marker>
            <c:symbol val="none"/>
          </c:marker>
          <c:cat>
            <c:numRef>
              <c:f>'Debt Center'!$L$25:$L$35</c:f>
              <c:numCache>
                <c:formatCode>0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</c:numCache>
            </c:numRef>
          </c:cat>
          <c:val>
            <c:numRef>
              <c:f>'Debt Center'!$M$25:$M$35</c:f>
              <c:numCache>
                <c:formatCode>\$#,##0</c:formatCode>
                <c:ptCount val="11"/>
                <c:pt idx="0">
                  <c:v>12500</c:v>
                </c:pt>
                <c:pt idx="1">
                  <c:v>11110.172588499334</c:v>
                </c:pt>
                <c:pt idx="2">
                  <c:v>9624.5956470092679</c:v>
                </c:pt>
                <c:pt idx="3">
                  <c:v>8033.7170054800881</c:v>
                </c:pt>
                <c:pt idx="4">
                  <c:v>6326.8338840571914</c:v>
                </c:pt>
                <c:pt idx="5">
                  <c:v>4491.9451671812094</c:v>
                </c:pt>
                <c:pt idx="6">
                  <c:v>3089.2444370878711</c:v>
                </c:pt>
                <c:pt idx="7">
                  <c:v>1979.9844173466336</c:v>
                </c:pt>
                <c:pt idx="8">
                  <c:v>831.90056743837158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B-497D-8327-54BAD87D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445264"/>
        <c:axId val="1325442864"/>
      </c:lineChart>
      <c:catAx>
        <c:axId val="13254452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442864"/>
        <c:crosses val="autoZero"/>
        <c:auto val="1"/>
        <c:lblAlgn val="ctr"/>
        <c:lblOffset val="100"/>
        <c:noMultiLvlLbl val="0"/>
      </c:catAx>
      <c:valAx>
        <c:axId val="132544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44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 allocation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1F2A4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24-4A4D-95C7-2CCB871711F3}"/>
              </c:ext>
            </c:extLst>
          </c:dPt>
          <c:dPt>
            <c:idx val="1"/>
            <c:bubble3D val="0"/>
            <c:spPr>
              <a:solidFill>
                <a:srgbClr val="8C8C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E24-4A4D-95C7-2CCB871711F3}"/>
              </c:ext>
            </c:extLst>
          </c:dPt>
          <c:dPt>
            <c:idx val="2"/>
            <c:bubble3D val="0"/>
            <c:spPr>
              <a:solidFill>
                <a:srgbClr val="2E7D3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24-4A4D-95C7-2CCB871711F3}"/>
              </c:ext>
            </c:extLst>
          </c:dPt>
          <c:dPt>
            <c:idx val="3"/>
            <c:bubble3D val="0"/>
            <c:spPr>
              <a:solidFill>
                <a:srgbClr val="F7931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E24-4A4D-95C7-2CCB871711F3}"/>
              </c:ext>
            </c:extLst>
          </c:dPt>
          <c:cat>
            <c:strRef>
              <c:f>Investing!$A$4:$A$7</c:f>
              <c:strCache>
                <c:ptCount val="4"/>
                <c:pt idx="0">
                  <c:v>Stocks</c:v>
                </c:pt>
                <c:pt idx="1">
                  <c:v>Bonds</c:v>
                </c:pt>
                <c:pt idx="2">
                  <c:v>Cash</c:v>
                </c:pt>
                <c:pt idx="3">
                  <c:v>Bitcoin</c:v>
                </c:pt>
              </c:strCache>
            </c:strRef>
          </c:cat>
          <c:val>
            <c:numRef>
              <c:f>Investing!$B$4:$B$7</c:f>
              <c:numCache>
                <c:formatCode>0.0%</c:formatCode>
                <c:ptCount val="4"/>
                <c:pt idx="0">
                  <c:v>0.6</c:v>
                </c:pt>
                <c:pt idx="1">
                  <c:v>0.1</c:v>
                </c:pt>
                <c:pt idx="2">
                  <c:v>0.05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24-4A4D-95C7-2CCB87171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 will buy (years out)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 CPI seed</c:v>
          </c:tx>
          <c:spPr>
            <a:ln w="25400" cap="rnd">
              <a:solidFill>
                <a:srgbClr val="1F2A44"/>
              </a:solidFill>
              <a:round/>
            </a:ln>
            <a:effectLst/>
          </c:spPr>
          <c:marker>
            <c:symbol val="none"/>
          </c:marker>
          <c:cat>
            <c:numRef>
              <c:f>'Macro &amp; Inflation'!$A$15:$A$20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cat>
          <c:val>
            <c:numRef>
              <c:f>'Macro &amp; Inflation'!$B$15:$B$20</c:f>
              <c:numCache>
                <c:formatCode>\$#,##0.00</c:formatCode>
                <c:ptCount val="6"/>
                <c:pt idx="0">
                  <c:v>81.524225049157337</c:v>
                </c:pt>
                <c:pt idx="1">
                  <c:v>66.461992698656545</c:v>
                </c:pt>
                <c:pt idx="2">
                  <c:v>54.182624499807282</c:v>
                </c:pt>
                <c:pt idx="3">
                  <c:v>44.171964734762753</c:v>
                </c:pt>
                <c:pt idx="4">
                  <c:v>29.357567976871167</c:v>
                </c:pt>
                <c:pt idx="5">
                  <c:v>19.511624685291245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50-44D2-9ACC-F2CCBAB1DE28}"/>
            </c:ext>
          </c:extLst>
        </c:ser>
        <c:ser>
          <c:idx val="1"/>
          <c:order val="1"/>
          <c:tx>
            <c:v>At your personal rate</c:v>
          </c:tx>
          <c:spPr>
            <a:ln w="25400" cap="rnd">
              <a:solidFill>
                <a:srgbClr val="F7931A"/>
              </a:solidFill>
              <a:round/>
            </a:ln>
            <a:effectLst/>
          </c:spPr>
          <c:marker>
            <c:symbol val="none"/>
          </c:marker>
          <c:cat>
            <c:numRef>
              <c:f>'Macro &amp; Inflation'!$A$15:$A$20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cat>
          <c:val>
            <c:numRef>
              <c:f>'Macro &amp; Inflation'!$C$15:$C$20</c:f>
              <c:numCache>
                <c:formatCode>\$#,##0.00</c:formatCode>
                <c:ptCount val="6"/>
                <c:pt idx="0">
                  <c:v>80.245104650068413</c:v>
                </c:pt>
                <c:pt idx="1">
                  <c:v>64.392768203004323</c:v>
                </c:pt>
                <c:pt idx="2">
                  <c:v>51.672044231576791</c:v>
                </c:pt>
                <c:pt idx="3">
                  <c:v>41.464285968458455</c:v>
                </c:pt>
                <c:pt idx="4">
                  <c:v>26.7000015507003</c:v>
                </c:pt>
                <c:pt idx="5">
                  <c:v>17.192870108741008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50-44D2-9ACC-F2CCBAB1D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414544"/>
        <c:axId val="1325424624"/>
      </c:lineChart>
      <c:catAx>
        <c:axId val="13254145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424624"/>
        <c:crosses val="autoZero"/>
        <c:auto val="1"/>
        <c:lblAlgn val="ctr"/>
        <c:lblOffset val="100"/>
        <c:noMultiLvlLbl val="0"/>
      </c:catAx>
      <c:valAx>
        <c:axId val="132542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41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 at target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WithBTC</c:v>
          </c:tx>
          <c:spPr>
            <a:solidFill>
              <a:srgbClr val="F7931A"/>
            </a:solidFill>
            <a:ln>
              <a:noFill/>
            </a:ln>
            <a:effectLst/>
          </c:spPr>
          <c:invertIfNegative val="0"/>
          <c:cat>
            <c:strRef>
              <c:f>'Scenario Comparison'!$A$5:$A$7</c:f>
              <c:strCache>
                <c:ptCount val="3"/>
                <c:pt idx="0">
                  <c:v>Conservative</c:v>
                </c:pt>
                <c:pt idx="1">
                  <c:v>Base</c:v>
                </c:pt>
                <c:pt idx="2">
                  <c:v>Aggressive</c:v>
                </c:pt>
              </c:strCache>
            </c:strRef>
          </c:cat>
          <c:val>
            <c:numRef>
              <c:f>'Scenario Comparison'!$E$5:$E$7</c:f>
              <c:numCache>
                <c:formatCode>\$#,##0</c:formatCode>
                <c:ptCount val="3"/>
                <c:pt idx="0">
                  <c:v>872900.70661265764</c:v>
                </c:pt>
                <c:pt idx="1">
                  <c:v>1433925.1495890557</c:v>
                </c:pt>
                <c:pt idx="2">
                  <c:v>3071490.5009118449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2-484F-9835-CFB27923BD28}"/>
            </c:ext>
          </c:extLst>
        </c:ser>
        <c:ser>
          <c:idx val="1"/>
          <c:order val="1"/>
          <c:tx>
            <c:v>NoBTC</c:v>
          </c:tx>
          <c:spPr>
            <a:solidFill>
              <a:srgbClr val="1F2A44"/>
            </a:solidFill>
            <a:ln>
              <a:noFill/>
            </a:ln>
            <a:effectLst/>
          </c:spPr>
          <c:invertIfNegative val="0"/>
          <c:cat>
            <c:strRef>
              <c:f>'Scenario Comparison'!$A$5:$A$7</c:f>
              <c:strCache>
                <c:ptCount val="3"/>
                <c:pt idx="0">
                  <c:v>Conservative</c:v>
                </c:pt>
                <c:pt idx="1">
                  <c:v>Base</c:v>
                </c:pt>
                <c:pt idx="2">
                  <c:v>Aggressive</c:v>
                </c:pt>
              </c:strCache>
            </c:strRef>
          </c:cat>
          <c:val>
            <c:numRef>
              <c:f>'Scenario Comparison'!$F$5:$F$7</c:f>
              <c:numCache>
                <c:formatCode>\$#,##0</c:formatCode>
                <c:ptCount val="3"/>
                <c:pt idx="0">
                  <c:v>862069.11018538277</c:v>
                </c:pt>
                <c:pt idx="1">
                  <c:v>1079816.1057237864</c:v>
                </c:pt>
                <c:pt idx="2">
                  <c:v>1512134.8559888755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A2-484F-9835-CFB27923B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5439504"/>
        <c:axId val="1325436624"/>
      </c:barChart>
      <c:catAx>
        <c:axId val="132543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436624"/>
        <c:crosses val="autoZero"/>
        <c:auto val="1"/>
        <c:lblAlgn val="ctr"/>
        <c:lblOffset val="100"/>
        <c:noMultiLvlLbl val="0"/>
      </c:catAx>
      <c:valAx>
        <c:axId val="132543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,,&quot;M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43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11</xdr:col>
      <xdr:colOff>425450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6BB09C-6B61-CB34-A371-86D0D654D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5</xdr:col>
      <xdr:colOff>333375</xdr:colOff>
      <xdr:row>40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6F9539-F62A-5D32-2C4B-BBA7A1D0C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50800</xdr:colOff>
      <xdr:row>18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5E7CE4-7399-BB52-3DAE-FCE25D766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12</xdr:col>
      <xdr:colOff>203200</xdr:colOff>
      <xdr:row>30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66779-B81C-8C0D-F118-A1E675B7E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4</xdr:col>
      <xdr:colOff>1174750</xdr:colOff>
      <xdr:row>30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8745CA-E087-7E31-132D-95CA79AC4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7931A"/>
    <pageSetUpPr fitToPage="1"/>
  </sheetPr>
  <dimension ref="A1:E45"/>
  <sheetViews>
    <sheetView showGridLines="0" tabSelected="1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24" customWidth="1"/>
    <col min="2" max="2" width="95" customWidth="1"/>
    <col min="3" max="5" width="14" customWidth="1"/>
  </cols>
  <sheetData>
    <row r="1" spans="1:5" ht="24" customHeight="1" x14ac:dyDescent="0.25">
      <c r="A1" s="59" t="s">
        <v>0</v>
      </c>
      <c r="B1" s="60"/>
      <c r="C1" s="60"/>
      <c r="D1" s="60"/>
      <c r="E1" s="60"/>
    </row>
    <row r="2" spans="1:5" ht="15.75" x14ac:dyDescent="0.25">
      <c r="A2" s="1" t="s">
        <v>1</v>
      </c>
    </row>
    <row r="4" spans="1:5" x14ac:dyDescent="0.25">
      <c r="A4" s="57" t="s">
        <v>2</v>
      </c>
      <c r="B4" s="58"/>
      <c r="C4" s="58"/>
      <c r="D4" s="58"/>
      <c r="E4" s="58"/>
    </row>
    <row r="5" spans="1:5" ht="18" customHeight="1" x14ac:dyDescent="0.25">
      <c r="A5" s="3" t="str">
        <f>HYPERLINK("#'Budget &amp; Cash Flow'!A1","1. Fill in Budget &amp; Cash Flow - income, spending, and your monthly investing amount.")</f>
        <v>1. Fill in Budget &amp; Cash Flow - income, spending, and your monthly investing amount.</v>
      </c>
    </row>
    <row r="6" spans="1:5" ht="18" customHeight="1" x14ac:dyDescent="0.25">
      <c r="A6" s="3" t="str">
        <f>HYPERLINK("#'Assumptions'!A1","2. Set your profile on Assumptions - ages, allocation, scenario seeds, BTC stack.")</f>
        <v>2. Set your profile on Assumptions - ages, allocation, scenario seeds, BTC stack.</v>
      </c>
    </row>
    <row r="7" spans="1:5" ht="18" customHeight="1" x14ac:dyDescent="0.25">
      <c r="A7" s="3" t="str">
        <f>HYPERLINK("#'Dashboard'!A1","3. Open the Dashboard - pick a scenario and read your whole picture. Everything else is automatic.")</f>
        <v>3. Open the Dashboard - pick a scenario and read your whole picture. Everything else is automatic.</v>
      </c>
    </row>
    <row r="9" spans="1:5" x14ac:dyDescent="0.25">
      <c r="A9" s="57" t="s">
        <v>3</v>
      </c>
      <c r="B9" s="58"/>
      <c r="C9" s="58"/>
      <c r="D9" s="58"/>
      <c r="E9" s="58"/>
    </row>
    <row r="10" spans="1:5" x14ac:dyDescent="0.25">
      <c r="A10" s="4" t="s">
        <v>4</v>
      </c>
      <c r="B10" s="5" t="s">
        <v>5</v>
      </c>
    </row>
    <row r="11" spans="1:5" x14ac:dyDescent="0.25">
      <c r="A11" s="6" t="s">
        <v>6</v>
      </c>
      <c r="B11" s="5" t="s">
        <v>7</v>
      </c>
    </row>
    <row r="12" spans="1:5" x14ac:dyDescent="0.25">
      <c r="A12" s="7" t="str">
        <f>"locked"</f>
        <v>locked</v>
      </c>
      <c r="B12" s="5" t="s">
        <v>8</v>
      </c>
    </row>
    <row r="13" spans="1:5" x14ac:dyDescent="0.25">
      <c r="A13" s="8" t="str">
        <f>"linked"</f>
        <v>linked</v>
      </c>
      <c r="B13" s="5" t="s">
        <v>9</v>
      </c>
    </row>
    <row r="15" spans="1:5" x14ac:dyDescent="0.25">
      <c r="A15" s="57" t="s">
        <v>10</v>
      </c>
      <c r="B15" s="58"/>
      <c r="C15" s="58"/>
      <c r="D15" s="58"/>
      <c r="E15" s="58"/>
    </row>
    <row r="16" spans="1:5" x14ac:dyDescent="0.25">
      <c r="A16" s="9" t="str">
        <f>HYPERLINK("#'Dashboard'!A1","Dashboard")</f>
        <v>Dashboard</v>
      </c>
      <c r="B16" s="5" t="s">
        <v>11</v>
      </c>
    </row>
    <row r="17" spans="1:2" x14ac:dyDescent="0.25">
      <c r="A17" s="9" t="str">
        <f>HYPERLINK("#'Budget &amp; Cash Flow'!A1","Budget &amp; Cash Flow")</f>
        <v>Budget &amp; Cash Flow</v>
      </c>
      <c r="B17" s="5" t="s">
        <v>12</v>
      </c>
    </row>
    <row r="18" spans="1:2" x14ac:dyDescent="0.25">
      <c r="A18" s="9" t="str">
        <f>HYPERLINK("#'Assumptions'!A1","Assumptions")</f>
        <v>Assumptions</v>
      </c>
      <c r="B18" s="5" t="s">
        <v>13</v>
      </c>
    </row>
    <row r="19" spans="1:2" x14ac:dyDescent="0.25">
      <c r="A19" s="9" t="str">
        <f>HYPERLINK("#'Net Worth Tracker'!A1","Net Worth Tracker")</f>
        <v>Net Worth Tracker</v>
      </c>
      <c r="B19" s="5" t="s">
        <v>14</v>
      </c>
    </row>
    <row r="20" spans="1:2" x14ac:dyDescent="0.25">
      <c r="A20" s="9" t="str">
        <f>HYPERLINK("#'FIRE &amp; Retirement'!A1","FIRE &amp; Retirement")</f>
        <v>FIRE &amp; Retirement</v>
      </c>
      <c r="B20" s="5" t="s">
        <v>15</v>
      </c>
    </row>
    <row r="21" spans="1:2" x14ac:dyDescent="0.25">
      <c r="A21" s="9" t="str">
        <f>HYPERLINK("#'Retirement Drawdown'!A1","Retirement Drawdown")</f>
        <v>Retirement Drawdown</v>
      </c>
      <c r="B21" s="5" t="s">
        <v>16</v>
      </c>
    </row>
    <row r="22" spans="1:2" x14ac:dyDescent="0.25">
      <c r="A22" s="9" t="str">
        <f>HYPERLINK("#'Tax Center'!A1","Tax Center")</f>
        <v>Tax Center</v>
      </c>
      <c r="B22" s="5" t="s">
        <v>17</v>
      </c>
    </row>
    <row r="23" spans="1:2" x14ac:dyDescent="0.25">
      <c r="A23" s="9" t="str">
        <f>HYPERLINK("#'Debt Center'!A1","Debt Center")</f>
        <v>Debt Center</v>
      </c>
      <c r="B23" s="5" t="s">
        <v>18</v>
      </c>
    </row>
    <row r="24" spans="1:2" x14ac:dyDescent="0.25">
      <c r="A24" s="9" t="str">
        <f>HYPERLINK("#'Credit Cards'!A1","Credit Cards")</f>
        <v>Credit Cards</v>
      </c>
      <c r="B24" s="5" t="s">
        <v>19</v>
      </c>
    </row>
    <row r="25" spans="1:2" x14ac:dyDescent="0.25">
      <c r="A25" s="9" t="str">
        <f>HYPERLINK("#'Housing'!A1","Housing")</f>
        <v>Housing</v>
      </c>
      <c r="B25" s="5" t="s">
        <v>20</v>
      </c>
    </row>
    <row r="26" spans="1:2" x14ac:dyDescent="0.25">
      <c r="A26" s="9" t="str">
        <f>HYPERLINK("#'Investing'!A1","Investing")</f>
        <v>Investing</v>
      </c>
      <c r="B26" s="5" t="s">
        <v>21</v>
      </c>
    </row>
    <row r="27" spans="1:2" x14ac:dyDescent="0.25">
      <c r="A27" s="9" t="str">
        <f>HYPERLINK("#'Bitcoin'!A1","Bitcoin")</f>
        <v>Bitcoin</v>
      </c>
      <c r="B27" s="5" t="s">
        <v>22</v>
      </c>
    </row>
    <row r="28" spans="1:2" x14ac:dyDescent="0.25">
      <c r="A28" s="9" t="str">
        <f>HYPERLINK("#'Career &amp; Decisions'!A1","Career &amp; Decisions")</f>
        <v>Career &amp; Decisions</v>
      </c>
      <c r="B28" s="5" t="s">
        <v>23</v>
      </c>
    </row>
    <row r="29" spans="1:2" x14ac:dyDescent="0.25">
      <c r="A29" s="9" t="str">
        <f>HYPERLINK("#'Family &amp; Life'!A1","Family &amp; Life")</f>
        <v>Family &amp; Life</v>
      </c>
      <c r="B29" s="5" t="s">
        <v>24</v>
      </c>
    </row>
    <row r="30" spans="1:2" x14ac:dyDescent="0.25">
      <c r="A30" s="9" t="str">
        <f>HYPERLINK("#'Macro &amp; Inflation'!A1","Macro &amp; Inflation")</f>
        <v>Macro &amp; Inflation</v>
      </c>
      <c r="B30" s="5" t="s">
        <v>25</v>
      </c>
    </row>
    <row r="31" spans="1:2" x14ac:dyDescent="0.25">
      <c r="A31" s="9" t="str">
        <f>HYPERLINK("#'Scenario Comparison'!A1","Scenario Comparison")</f>
        <v>Scenario Comparison</v>
      </c>
      <c r="B31" s="5" t="s">
        <v>26</v>
      </c>
    </row>
    <row r="32" spans="1:2" x14ac:dyDescent="0.25">
      <c r="A32" s="9" t="str">
        <f>HYPERLINK("#'Projections'!A1","Projections")</f>
        <v>Projections</v>
      </c>
      <c r="B32" s="5" t="s">
        <v>27</v>
      </c>
    </row>
    <row r="33" spans="1:5" x14ac:dyDescent="0.25">
      <c r="A33" s="9" t="str">
        <f>HYPERLINK("#'Site Tool Library'!A1","Site Tool Library")</f>
        <v>Site Tool Library</v>
      </c>
      <c r="B33" s="5" t="s">
        <v>28</v>
      </c>
    </row>
    <row r="34" spans="1:5" x14ac:dyDescent="0.25">
      <c r="A34" s="9" t="str">
        <f>HYPERLINK("#'Site Data'!A1","Site Data")</f>
        <v>Site Data</v>
      </c>
      <c r="B34" s="5" t="s">
        <v>29</v>
      </c>
    </row>
    <row r="35" spans="1:5" x14ac:dyDescent="0.25">
      <c r="A35" s="9" t="str">
        <f>HYPERLINK("#'Checks'!A1","Checks")</f>
        <v>Checks</v>
      </c>
      <c r="B35" s="5" t="s">
        <v>30</v>
      </c>
    </row>
    <row r="37" spans="1:5" x14ac:dyDescent="0.25">
      <c r="A37" s="57" t="s">
        <v>31</v>
      </c>
      <c r="B37" s="58"/>
      <c r="C37" s="58"/>
      <c r="D37" s="58"/>
      <c r="E37" s="58"/>
    </row>
    <row r="38" spans="1:5" x14ac:dyDescent="0.25">
      <c r="A38" s="5" t="s">
        <v>32</v>
      </c>
    </row>
    <row r="39" spans="1:5" x14ac:dyDescent="0.25">
      <c r="A39" s="5" t="s">
        <v>33</v>
      </c>
    </row>
    <row r="40" spans="1:5" x14ac:dyDescent="0.25">
      <c r="A40" s="5" t="s">
        <v>34</v>
      </c>
    </row>
    <row r="41" spans="1:5" x14ac:dyDescent="0.25">
      <c r="A41" s="5" t="s">
        <v>35</v>
      </c>
    </row>
    <row r="43" spans="1:5" x14ac:dyDescent="0.25">
      <c r="A43" s="5" t="s">
        <v>36</v>
      </c>
    </row>
    <row r="45" spans="1:5" x14ac:dyDescent="0.25">
      <c r="A45" s="10" t="s">
        <v>37</v>
      </c>
    </row>
  </sheetData>
  <sheetProtection sheet="1"/>
  <mergeCells count="5">
    <mergeCell ref="A4:E4"/>
    <mergeCell ref="A15:E15"/>
    <mergeCell ref="A1:E1"/>
    <mergeCell ref="A37:E37"/>
    <mergeCell ref="A9:E9"/>
  </mergeCells>
  <pageMargins left="0.75" right="0.75" top="1" bottom="1" header="0.5" footer="0.5"/>
  <pageSetup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4546A"/>
    <pageSetUpPr fitToPage="1"/>
  </sheetPr>
  <dimension ref="A1:F17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36" customWidth="1"/>
    <col min="2" max="2" width="15" customWidth="1"/>
    <col min="3" max="3" width="48" customWidth="1"/>
  </cols>
  <sheetData>
    <row r="1" spans="1:6" ht="24" customHeight="1" x14ac:dyDescent="0.25">
      <c r="A1" s="59" t="s">
        <v>287</v>
      </c>
      <c r="B1" s="60"/>
      <c r="C1" s="60"/>
      <c r="D1" s="60"/>
      <c r="E1" s="60"/>
      <c r="F1" s="60"/>
    </row>
    <row r="2" spans="1:6" x14ac:dyDescent="0.25">
      <c r="A2" s="10" t="s">
        <v>288</v>
      </c>
      <c r="E2" s="9" t="str">
        <f>HYPERLINK("#Dashboard!A1","&lt; Dashboard")</f>
        <v>&lt; Dashboard</v>
      </c>
    </row>
    <row r="4" spans="1:6" x14ac:dyDescent="0.25">
      <c r="A4" s="5" t="s">
        <v>267</v>
      </c>
      <c r="B4" s="25">
        <v>4000</v>
      </c>
    </row>
    <row r="5" spans="1:6" x14ac:dyDescent="0.25">
      <c r="A5" s="5" t="s">
        <v>268</v>
      </c>
      <c r="B5" s="31">
        <v>0.26989999999999997</v>
      </c>
    </row>
    <row r="6" spans="1:6" x14ac:dyDescent="0.25">
      <c r="A6" s="5" t="s">
        <v>289</v>
      </c>
      <c r="B6" s="25">
        <v>10000</v>
      </c>
    </row>
    <row r="7" spans="1:6" x14ac:dyDescent="0.25">
      <c r="A7" s="5" t="s">
        <v>290</v>
      </c>
      <c r="B7" s="25">
        <v>200</v>
      </c>
    </row>
    <row r="8" spans="1:6" x14ac:dyDescent="0.25">
      <c r="A8" s="5" t="s">
        <v>291</v>
      </c>
      <c r="B8" s="32">
        <v>0.02</v>
      </c>
    </row>
    <row r="10" spans="1:6" x14ac:dyDescent="0.25">
      <c r="A10" s="5" t="s">
        <v>292</v>
      </c>
      <c r="B10" s="23">
        <f>IF(CCLimit=0,0,CCBal/CCLimit)</f>
        <v>0.4</v>
      </c>
      <c r="C10" s="7" t="str">
        <f>IF(IF(CCLimit=0,0,CCBal/CCLimit)&gt;0.3,"Above the 30% utilization guideline","Under 30% - fine for scoring")</f>
        <v>Above the 30% utilization guideline</v>
      </c>
    </row>
    <row r="11" spans="1:6" x14ac:dyDescent="0.25">
      <c r="A11" s="5" t="s">
        <v>293</v>
      </c>
      <c r="B11" s="46">
        <f>IF(OR(CCBal&lt;=0,CCPmt&lt;=0),"-",IF(CCPmt&lt;=CCBal*CCAPR/12,"Payment too low - balance grows",NPER(CCAPR/12,-CCPmt,CCBal)))</f>
        <v>26.864566453984086</v>
      </c>
    </row>
    <row r="12" spans="1:6" x14ac:dyDescent="0.25">
      <c r="A12" s="5" t="s">
        <v>294</v>
      </c>
      <c r="B12" s="28">
        <f>IF(ISNUMBER(B11),B11*CCPmt-CCBal,"-")</f>
        <v>1372.9132907968169</v>
      </c>
    </row>
    <row r="13" spans="1:6" x14ac:dyDescent="0.25">
      <c r="A13" s="5" t="s">
        <v>295</v>
      </c>
      <c r="B13" s="40">
        <f>MAX(25,CCBal*CCMinPct)</f>
        <v>80</v>
      </c>
    </row>
    <row r="14" spans="1:6" x14ac:dyDescent="0.25">
      <c r="A14" s="5" t="s">
        <v>296</v>
      </c>
      <c r="B14" s="46" t="str">
        <f>IF(CCBal&lt;=0,"-",IF(MAX(25,CCBal*CCMinPct)&lt;=CCBal*CCAPR/12,"Payment too low - balance grows",NPER(CCAPR/12,-MAX(25,CCBal*CCMinPct),CCBal)))</f>
        <v>Payment too low - balance grows</v>
      </c>
      <c r="C14" s="10" t="s">
        <v>297</v>
      </c>
    </row>
    <row r="15" spans="1:6" x14ac:dyDescent="0.25">
      <c r="A15" s="5" t="s">
        <v>298</v>
      </c>
      <c r="B15" s="28" t="str">
        <f>IF(ISNUMBER(B14),B14*MAX(25,CCBal*CCMinPct)-CCBal,"-")</f>
        <v>-</v>
      </c>
    </row>
    <row r="17" spans="1:1" x14ac:dyDescent="0.25">
      <c r="A17" s="10" t="s">
        <v>37</v>
      </c>
    </row>
  </sheetData>
  <sheetProtection sheet="1"/>
  <mergeCells count="1">
    <mergeCell ref="A1:F1"/>
  </mergeCells>
  <dataValidations count="2">
    <dataValidation type="decimal" errorStyle="warning" operator="greaterThanOrEqual" allowBlank="1" showInputMessage="1" showErrorMessage="1" promptTitle="Amount" prompt="Enter a dollar (or unit) amount, 0 or more." sqref="B4 B6 B7" xr:uid="{00000000-0002-0000-0900-000000000000}">
      <formula1>0</formula1>
    </dataValidation>
    <dataValidation type="decimal" errorStyle="warning" allowBlank="1" showInputMessage="1" showErrorMessage="1" promptTitle="Rate" prompt="Enter as a decimal: 0.05 = 5%." sqref="B5 B8" xr:uid="{00000000-0002-0000-0900-000001000000}">
      <formula1>0</formula1>
      <formula2>1</formula2>
    </dataValidation>
  </dataValidations>
  <pageMargins left="0.75" right="0.75" top="1" bottom="1" header="0.5" footer="0.5"/>
  <pageSetup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4546A"/>
    <pageSetUpPr fitToPage="1"/>
  </sheetPr>
  <dimension ref="A1:N57"/>
  <sheetViews>
    <sheetView workbookViewId="0">
      <pane ySplit="13" topLeftCell="A14" activePane="bottomLeft" state="frozen"/>
      <selection pane="bottomLeft"/>
    </sheetView>
  </sheetViews>
  <sheetFormatPr defaultRowHeight="15" x14ac:dyDescent="0.25"/>
  <cols>
    <col min="1" max="1" width="21" customWidth="1"/>
    <col min="2" max="3" width="13" customWidth="1"/>
    <col min="4" max="4" width="18" customWidth="1"/>
    <col min="5" max="14" width="13" customWidth="1"/>
  </cols>
  <sheetData>
    <row r="1" spans="1:14" ht="24" customHeight="1" x14ac:dyDescent="0.25">
      <c r="A1" s="59" t="s">
        <v>299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10" t="s">
        <v>300</v>
      </c>
      <c r="N2" s="9" t="str">
        <f>HYPERLINK("#Dashboard!A1","&lt; Dashboard")</f>
        <v>&lt; Dashboard</v>
      </c>
    </row>
    <row r="3" spans="1:14" x14ac:dyDescent="0.25">
      <c r="A3" s="57" t="s">
        <v>220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25">
      <c r="A4" s="5" t="s">
        <v>301</v>
      </c>
      <c r="B4" s="25">
        <v>350000</v>
      </c>
      <c r="D4" s="5" t="s">
        <v>302</v>
      </c>
      <c r="E4" s="31">
        <v>1.0999999999999999E-2</v>
      </c>
    </row>
    <row r="5" spans="1:14" x14ac:dyDescent="0.25">
      <c r="A5" s="5" t="s">
        <v>303</v>
      </c>
      <c r="B5" s="32">
        <v>0.2</v>
      </c>
      <c r="D5" s="5" t="s">
        <v>304</v>
      </c>
      <c r="E5" s="31">
        <v>0.01</v>
      </c>
    </row>
    <row r="6" spans="1:14" x14ac:dyDescent="0.25">
      <c r="A6" s="5" t="s">
        <v>305</v>
      </c>
      <c r="B6" s="32">
        <v>0.03</v>
      </c>
      <c r="D6" s="5" t="s">
        <v>306</v>
      </c>
      <c r="E6" s="31">
        <v>4.0000000000000001E-3</v>
      </c>
    </row>
    <row r="7" spans="1:14" x14ac:dyDescent="0.25">
      <c r="A7" s="5" t="s">
        <v>307</v>
      </c>
      <c r="B7" s="31">
        <v>6.4299999999999996E-2</v>
      </c>
      <c r="D7" s="5" t="s">
        <v>308</v>
      </c>
      <c r="E7" s="32">
        <v>0.03</v>
      </c>
    </row>
    <row r="8" spans="1:14" x14ac:dyDescent="0.25">
      <c r="A8" s="5" t="s">
        <v>309</v>
      </c>
      <c r="B8" s="30">
        <v>30</v>
      </c>
      <c r="D8" s="5" t="s">
        <v>310</v>
      </c>
      <c r="E8" s="32">
        <v>6.5000000000000002E-2</v>
      </c>
    </row>
    <row r="9" spans="1:14" x14ac:dyDescent="0.25">
      <c r="A9" s="5" t="s">
        <v>311</v>
      </c>
      <c r="B9" s="25">
        <v>1600</v>
      </c>
      <c r="D9" s="5" t="s">
        <v>312</v>
      </c>
      <c r="E9" s="28">
        <f>HomePrice*DownPct</f>
        <v>70000</v>
      </c>
    </row>
    <row r="10" spans="1:14" x14ac:dyDescent="0.25">
      <c r="A10" s="5" t="s">
        <v>313</v>
      </c>
      <c r="B10" s="32">
        <v>0.03</v>
      </c>
      <c r="D10" s="5" t="s">
        <v>314</v>
      </c>
      <c r="E10" s="28">
        <f>HomePrice-HDown</f>
        <v>280000</v>
      </c>
    </row>
    <row r="11" spans="1:14" x14ac:dyDescent="0.25">
      <c r="A11" s="5" t="s">
        <v>315</v>
      </c>
      <c r="B11" s="23">
        <f>IF(GrossIncome=0,0,(HPmt+HomePrice*(PropTaxPct+InsPct)/12)/(GrossIncome/12))</f>
        <v>0.33760311346186844</v>
      </c>
      <c r="D11" s="5" t="s">
        <v>316</v>
      </c>
      <c r="E11" s="40">
        <f>IF(HousingRate=0,HLoan/(HousingTerm*12),-PMT(HousingRate/12,HousingTerm*12,HLoan))</f>
        <v>1756.9202375021453</v>
      </c>
    </row>
    <row r="12" spans="1:14" x14ac:dyDescent="0.25">
      <c r="A12" s="10" t="s">
        <v>317</v>
      </c>
      <c r="D12" s="5" t="s">
        <v>318</v>
      </c>
      <c r="E12" s="28">
        <f>HDown+HomePrice*ClosingPct</f>
        <v>80500</v>
      </c>
    </row>
    <row r="13" spans="1:14" x14ac:dyDescent="0.25">
      <c r="A13" s="2" t="s">
        <v>319</v>
      </c>
      <c r="B13" s="2" t="s">
        <v>320</v>
      </c>
      <c r="C13" s="2" t="s">
        <v>321</v>
      </c>
      <c r="D13" s="2" t="s">
        <v>322</v>
      </c>
      <c r="E13" s="2" t="s">
        <v>323</v>
      </c>
      <c r="F13" s="2" t="s">
        <v>324</v>
      </c>
      <c r="G13" s="2" t="s">
        <v>325</v>
      </c>
      <c r="H13" s="2" t="s">
        <v>326</v>
      </c>
      <c r="I13" s="2" t="s">
        <v>327</v>
      </c>
      <c r="J13" s="2" t="s">
        <v>328</v>
      </c>
      <c r="K13" s="2" t="s">
        <v>329</v>
      </c>
      <c r="L13" s="2" t="s">
        <v>330</v>
      </c>
      <c r="M13" s="2" t="s">
        <v>331</v>
      </c>
      <c r="N13" s="2" t="s">
        <v>332</v>
      </c>
    </row>
    <row r="14" spans="1:14" x14ac:dyDescent="0.25">
      <c r="A14" s="39">
        <v>1</v>
      </c>
      <c r="B14" s="28">
        <f>HLoan</f>
        <v>280000</v>
      </c>
      <c r="C14" s="28">
        <f t="shared" ref="C14:C43" si="0">IF(HousingRate=0,MAX(0,B14-HPmt*12),MAX(0,B14*(1+HousingRate/12)^12-HPmt*(((1+HousingRate/12)^12-1)/(HousingRate/12))))</f>
        <v>276828.57473033841</v>
      </c>
      <c r="D14" s="28">
        <f t="shared" ref="D14:D43" si="1">B14-C14</f>
        <v>3171.4252696615877</v>
      </c>
      <c r="E14" s="28">
        <f t="shared" ref="E14:E43" si="2">MAX(0,HPmt*12-D14)</f>
        <v>17911.617580364156</v>
      </c>
      <c r="F14" s="28">
        <f t="shared" ref="F14:F43" si="3">HomePrice*(1+AppreciationPct)^$A14</f>
        <v>360500</v>
      </c>
      <c r="G14" s="28">
        <f>F14-HomePrice</f>
        <v>10500</v>
      </c>
      <c r="H14" s="28">
        <f t="shared" ref="H14:H43" si="4">HPmt*12+F14*(PropTaxPct+MaintPct+InsPct)</f>
        <v>30095.542850025744</v>
      </c>
      <c r="I14" s="28">
        <f t="shared" ref="I14:I43" si="5">HInitialOutlay*HInvReturn</f>
        <v>5232.5</v>
      </c>
      <c r="J14" s="28">
        <f t="shared" ref="J14:J43" si="6">H14+I14-D14-G14</f>
        <v>21656.617580364153</v>
      </c>
      <c r="K14" s="28">
        <f t="shared" ref="K14:K43" si="7">RentMonthly*12*(1+RentGrowth)^($A14-1)</f>
        <v>19200</v>
      </c>
      <c r="L14" s="28">
        <f>SUM($J$14:J14)</f>
        <v>21656.617580364153</v>
      </c>
      <c r="M14" s="28">
        <f>SUM($K$14:K14)</f>
        <v>19200</v>
      </c>
      <c r="N14" s="39">
        <f t="shared" ref="N14:N43" si="8">IF(L14&lt;=M14,1,0)</f>
        <v>0</v>
      </c>
    </row>
    <row r="15" spans="1:14" x14ac:dyDescent="0.25">
      <c r="A15" s="39">
        <v>2</v>
      </c>
      <c r="B15" s="28">
        <f t="shared" ref="B15:B43" si="9">C14</f>
        <v>276828.57473033841</v>
      </c>
      <c r="C15" s="28">
        <f t="shared" si="0"/>
        <v>273447.10839908721</v>
      </c>
      <c r="D15" s="28">
        <f t="shared" si="1"/>
        <v>3381.4663312511984</v>
      </c>
      <c r="E15" s="28">
        <f t="shared" si="2"/>
        <v>17701.576518774546</v>
      </c>
      <c r="F15" s="28">
        <f t="shared" si="3"/>
        <v>371315</v>
      </c>
      <c r="G15" s="28">
        <f t="shared" ref="G15:G43" si="10">F15-F14</f>
        <v>10815</v>
      </c>
      <c r="H15" s="28">
        <f t="shared" si="4"/>
        <v>30365.917850025744</v>
      </c>
      <c r="I15" s="28">
        <f t="shared" si="5"/>
        <v>5232.5</v>
      </c>
      <c r="J15" s="28">
        <f t="shared" si="6"/>
        <v>21401.951518774542</v>
      </c>
      <c r="K15" s="28">
        <f t="shared" si="7"/>
        <v>19776</v>
      </c>
      <c r="L15" s="28">
        <f>SUM($J$14:J15)</f>
        <v>43058.569099138695</v>
      </c>
      <c r="M15" s="28">
        <f>SUM($K$14:K15)</f>
        <v>38976</v>
      </c>
      <c r="N15" s="39">
        <f t="shared" si="8"/>
        <v>0</v>
      </c>
    </row>
    <row r="16" spans="1:14" x14ac:dyDescent="0.25">
      <c r="A16" s="39">
        <v>3</v>
      </c>
      <c r="B16" s="28">
        <f t="shared" si="9"/>
        <v>273447.10839908721</v>
      </c>
      <c r="C16" s="28">
        <f t="shared" si="0"/>
        <v>269841.69014794059</v>
      </c>
      <c r="D16" s="28">
        <f t="shared" si="1"/>
        <v>3605.4182511466206</v>
      </c>
      <c r="E16" s="28">
        <f t="shared" si="2"/>
        <v>17477.624598879123</v>
      </c>
      <c r="F16" s="28">
        <f t="shared" si="3"/>
        <v>382454.45</v>
      </c>
      <c r="G16" s="28">
        <f t="shared" si="10"/>
        <v>11139.450000000012</v>
      </c>
      <c r="H16" s="28">
        <f t="shared" si="4"/>
        <v>30644.404100025742</v>
      </c>
      <c r="I16" s="28">
        <f t="shared" si="5"/>
        <v>5232.5</v>
      </c>
      <c r="J16" s="28">
        <f t="shared" si="6"/>
        <v>21132.03584887911</v>
      </c>
      <c r="K16" s="28">
        <f t="shared" si="7"/>
        <v>20369.28</v>
      </c>
      <c r="L16" s="28">
        <f>SUM($J$14:J16)</f>
        <v>64190.604948017804</v>
      </c>
      <c r="M16" s="28">
        <f>SUM($K$14:K16)</f>
        <v>59345.279999999999</v>
      </c>
      <c r="N16" s="39">
        <f t="shared" si="8"/>
        <v>0</v>
      </c>
    </row>
    <row r="17" spans="1:14" x14ac:dyDescent="0.25">
      <c r="A17" s="39">
        <v>4</v>
      </c>
      <c r="B17" s="28">
        <f t="shared" si="9"/>
        <v>269841.69014794059</v>
      </c>
      <c r="C17" s="28">
        <f t="shared" si="0"/>
        <v>265997.4878131235</v>
      </c>
      <c r="D17" s="28">
        <f t="shared" si="1"/>
        <v>3844.2023348170915</v>
      </c>
      <c r="E17" s="28">
        <f t="shared" si="2"/>
        <v>17238.840515208653</v>
      </c>
      <c r="F17" s="28">
        <f t="shared" si="3"/>
        <v>393928.08349999995</v>
      </c>
      <c r="G17" s="28">
        <f t="shared" si="10"/>
        <v>11473.633499999938</v>
      </c>
      <c r="H17" s="28">
        <f t="shared" si="4"/>
        <v>30931.244937525742</v>
      </c>
      <c r="I17" s="28">
        <f t="shared" si="5"/>
        <v>5232.5</v>
      </c>
      <c r="J17" s="28">
        <f t="shared" si="6"/>
        <v>20845.909102708712</v>
      </c>
      <c r="K17" s="28">
        <f t="shared" si="7"/>
        <v>20980.358400000001</v>
      </c>
      <c r="L17" s="28">
        <f>SUM($J$14:J17)</f>
        <v>85036.514050726517</v>
      </c>
      <c r="M17" s="28">
        <f>SUM($K$14:K17)</f>
        <v>80325.638399999996</v>
      </c>
      <c r="N17" s="39">
        <f t="shared" si="8"/>
        <v>0</v>
      </c>
    </row>
    <row r="18" spans="1:14" x14ac:dyDescent="0.25">
      <c r="A18" s="39">
        <v>5</v>
      </c>
      <c r="B18" s="28">
        <f t="shared" si="9"/>
        <v>265997.4878131235</v>
      </c>
      <c r="C18" s="28">
        <f t="shared" si="0"/>
        <v>261898.68690803758</v>
      </c>
      <c r="D18" s="28">
        <f t="shared" si="1"/>
        <v>4098.8009050859255</v>
      </c>
      <c r="E18" s="28">
        <f t="shared" si="2"/>
        <v>16984.241944939818</v>
      </c>
      <c r="F18" s="28">
        <f t="shared" si="3"/>
        <v>405745.92600499996</v>
      </c>
      <c r="G18" s="28">
        <f t="shared" si="10"/>
        <v>11817.842505000008</v>
      </c>
      <c r="H18" s="28">
        <f t="shared" si="4"/>
        <v>31226.691000150742</v>
      </c>
      <c r="I18" s="28">
        <f t="shared" si="5"/>
        <v>5232.5</v>
      </c>
      <c r="J18" s="28">
        <f t="shared" si="6"/>
        <v>20542.547590064809</v>
      </c>
      <c r="K18" s="28">
        <f t="shared" si="7"/>
        <v>21609.769151999997</v>
      </c>
      <c r="L18" s="28">
        <f>SUM($J$14:J18)</f>
        <v>105579.06164079133</v>
      </c>
      <c r="M18" s="28">
        <f>SUM($K$14:K18)</f>
        <v>101935.40755199999</v>
      </c>
      <c r="N18" s="39">
        <f t="shared" si="8"/>
        <v>0</v>
      </c>
    </row>
    <row r="19" spans="1:14" x14ac:dyDescent="0.25">
      <c r="A19" s="39">
        <v>6</v>
      </c>
      <c r="B19" s="28">
        <f t="shared" si="9"/>
        <v>261898.68690803758</v>
      </c>
      <c r="C19" s="28">
        <f t="shared" si="0"/>
        <v>257528.42556477437</v>
      </c>
      <c r="D19" s="28">
        <f t="shared" si="1"/>
        <v>4370.2613432632061</v>
      </c>
      <c r="E19" s="28">
        <f t="shared" si="2"/>
        <v>16712.781506762538</v>
      </c>
      <c r="F19" s="28">
        <f t="shared" si="3"/>
        <v>417918.30378515</v>
      </c>
      <c r="G19" s="28">
        <f t="shared" si="10"/>
        <v>12172.37778015004</v>
      </c>
      <c r="H19" s="28">
        <f t="shared" si="4"/>
        <v>31531.000444654492</v>
      </c>
      <c r="I19" s="28">
        <f t="shared" si="5"/>
        <v>5232.5</v>
      </c>
      <c r="J19" s="28">
        <f t="shared" si="6"/>
        <v>20220.861321241246</v>
      </c>
      <c r="K19" s="28">
        <f t="shared" si="7"/>
        <v>22258.062226559996</v>
      </c>
      <c r="L19" s="28">
        <f>SUM($J$14:J19)</f>
        <v>125799.92296203258</v>
      </c>
      <c r="M19" s="28">
        <f>SUM($K$14:K19)</f>
        <v>124193.46977855999</v>
      </c>
      <c r="N19" s="39">
        <f t="shared" si="8"/>
        <v>0</v>
      </c>
    </row>
    <row r="20" spans="1:14" x14ac:dyDescent="0.25">
      <c r="A20" s="39">
        <v>7</v>
      </c>
      <c r="B20" s="28">
        <f t="shared" si="9"/>
        <v>257528.42556477437</v>
      </c>
      <c r="C20" s="28">
        <f t="shared" si="0"/>
        <v>252868.72516685509</v>
      </c>
      <c r="D20" s="28">
        <f t="shared" si="1"/>
        <v>4659.7003979192814</v>
      </c>
      <c r="E20" s="28">
        <f t="shared" si="2"/>
        <v>16423.342452106463</v>
      </c>
      <c r="F20" s="28">
        <f t="shared" si="3"/>
        <v>430455.85289870447</v>
      </c>
      <c r="G20" s="28">
        <f t="shared" si="10"/>
        <v>12537.549113554473</v>
      </c>
      <c r="H20" s="28">
        <f t="shared" si="4"/>
        <v>31844.439172493356</v>
      </c>
      <c r="I20" s="28">
        <f t="shared" si="5"/>
        <v>5232.5</v>
      </c>
      <c r="J20" s="28">
        <f t="shared" si="6"/>
        <v>19879.689661019598</v>
      </c>
      <c r="K20" s="28">
        <f t="shared" si="7"/>
        <v>22925.804093356797</v>
      </c>
      <c r="L20" s="28">
        <f>SUM($J$14:J20)</f>
        <v>145679.61262305218</v>
      </c>
      <c r="M20" s="28">
        <f>SUM($K$14:K20)</f>
        <v>147119.27387191678</v>
      </c>
      <c r="N20" s="39">
        <f t="shared" si="8"/>
        <v>1</v>
      </c>
    </row>
    <row r="21" spans="1:14" x14ac:dyDescent="0.25">
      <c r="A21" s="39">
        <v>8</v>
      </c>
      <c r="B21" s="28">
        <f t="shared" si="9"/>
        <v>252868.72516685509</v>
      </c>
      <c r="C21" s="28">
        <f t="shared" si="0"/>
        <v>247900.41638782993</v>
      </c>
      <c r="D21" s="28">
        <f t="shared" si="1"/>
        <v>4968.3087790251593</v>
      </c>
      <c r="E21" s="28">
        <f t="shared" si="2"/>
        <v>16114.734071000585</v>
      </c>
      <c r="F21" s="28">
        <f t="shared" si="3"/>
        <v>443369.52848566556</v>
      </c>
      <c r="G21" s="28">
        <f t="shared" si="10"/>
        <v>12913.675586961093</v>
      </c>
      <c r="H21" s="28">
        <f t="shared" si="4"/>
        <v>32167.281062167382</v>
      </c>
      <c r="I21" s="28">
        <f t="shared" si="5"/>
        <v>5232.5</v>
      </c>
      <c r="J21" s="28">
        <f t="shared" si="6"/>
        <v>19517.796696181133</v>
      </c>
      <c r="K21" s="28">
        <f t="shared" si="7"/>
        <v>23613.578216157504</v>
      </c>
      <c r="L21" s="28">
        <f>SUM($J$14:J21)</f>
        <v>165197.40931923332</v>
      </c>
      <c r="M21" s="28">
        <f>SUM($K$14:K21)</f>
        <v>170732.85208807429</v>
      </c>
      <c r="N21" s="39">
        <f t="shared" si="8"/>
        <v>1</v>
      </c>
    </row>
    <row r="22" spans="1:14" x14ac:dyDescent="0.25">
      <c r="A22" s="39">
        <v>9</v>
      </c>
      <c r="B22" s="28">
        <f t="shared" si="9"/>
        <v>247900.41638782993</v>
      </c>
      <c r="C22" s="28">
        <f t="shared" si="0"/>
        <v>242603.06033147039</v>
      </c>
      <c r="D22" s="28">
        <f t="shared" si="1"/>
        <v>5297.3560563595383</v>
      </c>
      <c r="E22" s="28">
        <f t="shared" si="2"/>
        <v>15785.686793666206</v>
      </c>
      <c r="F22" s="28">
        <f t="shared" si="3"/>
        <v>456670.61434023554</v>
      </c>
      <c r="G22" s="28">
        <f t="shared" si="10"/>
        <v>13301.085854569974</v>
      </c>
      <c r="H22" s="28">
        <f t="shared" si="4"/>
        <v>32499.808208531631</v>
      </c>
      <c r="I22" s="28">
        <f t="shared" si="5"/>
        <v>5232.5</v>
      </c>
      <c r="J22" s="28">
        <f t="shared" si="6"/>
        <v>19133.866297602115</v>
      </c>
      <c r="K22" s="28">
        <f t="shared" si="7"/>
        <v>24321.985562642225</v>
      </c>
      <c r="L22" s="28">
        <f>SUM($J$14:J22)</f>
        <v>184331.27561683545</v>
      </c>
      <c r="M22" s="28">
        <f>SUM($K$14:K22)</f>
        <v>195054.83765071651</v>
      </c>
      <c r="N22" s="39">
        <f t="shared" si="8"/>
        <v>1</v>
      </c>
    </row>
    <row r="23" spans="1:14" x14ac:dyDescent="0.25">
      <c r="A23" s="39">
        <v>10</v>
      </c>
      <c r="B23" s="28">
        <f t="shared" si="9"/>
        <v>242603.06033147039</v>
      </c>
      <c r="C23" s="28">
        <f t="shared" si="0"/>
        <v>236954.86444913736</v>
      </c>
      <c r="D23" s="28">
        <f t="shared" si="1"/>
        <v>5648.1958823330351</v>
      </c>
      <c r="E23" s="28">
        <f t="shared" si="2"/>
        <v>15434.846967692709</v>
      </c>
      <c r="F23" s="28">
        <f t="shared" si="3"/>
        <v>470370.73277044261</v>
      </c>
      <c r="G23" s="28">
        <f t="shared" si="10"/>
        <v>13700.118430207076</v>
      </c>
      <c r="H23" s="28">
        <f t="shared" si="4"/>
        <v>32842.311169286811</v>
      </c>
      <c r="I23" s="28">
        <f t="shared" si="5"/>
        <v>5232.5</v>
      </c>
      <c r="J23" s="28">
        <f t="shared" si="6"/>
        <v>18726.4968567467</v>
      </c>
      <c r="K23" s="28">
        <f t="shared" si="7"/>
        <v>25051.645129521494</v>
      </c>
      <c r="L23" s="28">
        <f>SUM($J$14:J23)</f>
        <v>203057.77247358215</v>
      </c>
      <c r="M23" s="28">
        <f>SUM($K$14:K23)</f>
        <v>220106.482780238</v>
      </c>
      <c r="N23" s="39">
        <f t="shared" si="8"/>
        <v>1</v>
      </c>
    </row>
    <row r="24" spans="1:14" x14ac:dyDescent="0.25">
      <c r="A24" s="39">
        <v>11</v>
      </c>
      <c r="B24" s="28">
        <f t="shared" si="9"/>
        <v>236954.86444913736</v>
      </c>
      <c r="C24" s="28">
        <f t="shared" si="0"/>
        <v>230932.59288842077</v>
      </c>
      <c r="D24" s="28">
        <f t="shared" si="1"/>
        <v>6022.2715607165883</v>
      </c>
      <c r="E24" s="28">
        <f t="shared" si="2"/>
        <v>15060.771289309156</v>
      </c>
      <c r="F24" s="28">
        <f t="shared" si="3"/>
        <v>484481.8547535559</v>
      </c>
      <c r="G24" s="28">
        <f t="shared" si="10"/>
        <v>14111.121983113291</v>
      </c>
      <c r="H24" s="28">
        <f t="shared" si="4"/>
        <v>33195.089218864639</v>
      </c>
      <c r="I24" s="28">
        <f t="shared" si="5"/>
        <v>5232.5</v>
      </c>
      <c r="J24" s="28">
        <f t="shared" si="6"/>
        <v>18294.19567503476</v>
      </c>
      <c r="K24" s="28">
        <f t="shared" si="7"/>
        <v>25803.194483407136</v>
      </c>
      <c r="L24" s="28">
        <f>SUM($J$14:J24)</f>
        <v>221351.9681486169</v>
      </c>
      <c r="M24" s="28">
        <f>SUM($K$14:K24)</f>
        <v>245909.67726364514</v>
      </c>
      <c r="N24" s="39">
        <f t="shared" si="8"/>
        <v>1</v>
      </c>
    </row>
    <row r="25" spans="1:14" x14ac:dyDescent="0.25">
      <c r="A25" s="39">
        <v>12</v>
      </c>
      <c r="B25" s="28">
        <f t="shared" si="9"/>
        <v>230932.59288842077</v>
      </c>
      <c r="C25" s="28">
        <f t="shared" si="0"/>
        <v>224511.47090423858</v>
      </c>
      <c r="D25" s="28">
        <f t="shared" si="1"/>
        <v>6421.1219841821876</v>
      </c>
      <c r="E25" s="28">
        <f t="shared" si="2"/>
        <v>14661.920865843556</v>
      </c>
      <c r="F25" s="28">
        <f t="shared" si="3"/>
        <v>499016.3103961625</v>
      </c>
      <c r="G25" s="28">
        <f t="shared" si="10"/>
        <v>14534.455642606597</v>
      </c>
      <c r="H25" s="28">
        <f t="shared" si="4"/>
        <v>33558.450609929801</v>
      </c>
      <c r="I25" s="28">
        <f t="shared" si="5"/>
        <v>5232.5</v>
      </c>
      <c r="J25" s="28">
        <f t="shared" si="6"/>
        <v>17835.372983141016</v>
      </c>
      <c r="K25" s="28">
        <f t="shared" si="7"/>
        <v>26577.290317909352</v>
      </c>
      <c r="L25" s="28">
        <f>SUM($J$14:J25)</f>
        <v>239187.34113175792</v>
      </c>
      <c r="M25" s="28">
        <f>SUM($K$14:K25)</f>
        <v>272486.96758155449</v>
      </c>
      <c r="N25" s="39">
        <f t="shared" si="8"/>
        <v>1</v>
      </c>
    </row>
    <row r="26" spans="1:14" x14ac:dyDescent="0.25">
      <c r="A26" s="39">
        <v>13</v>
      </c>
      <c r="B26" s="28">
        <f t="shared" si="9"/>
        <v>224511.47090423858</v>
      </c>
      <c r="C26" s="28">
        <f t="shared" si="0"/>
        <v>217665.08293915624</v>
      </c>
      <c r="D26" s="28">
        <f t="shared" si="1"/>
        <v>6846.3879650823364</v>
      </c>
      <c r="E26" s="28">
        <f t="shared" si="2"/>
        <v>14236.654884943408</v>
      </c>
      <c r="F26" s="28">
        <f t="shared" si="3"/>
        <v>513986.79970804736</v>
      </c>
      <c r="G26" s="28">
        <f t="shared" si="10"/>
        <v>14970.489311884856</v>
      </c>
      <c r="H26" s="28">
        <f t="shared" si="4"/>
        <v>33932.712842726927</v>
      </c>
      <c r="I26" s="28">
        <f t="shared" si="5"/>
        <v>5232.5</v>
      </c>
      <c r="J26" s="28">
        <f t="shared" si="6"/>
        <v>17348.335565759735</v>
      </c>
      <c r="K26" s="28">
        <f t="shared" si="7"/>
        <v>27374.60902744663</v>
      </c>
      <c r="L26" s="28">
        <f>SUM($J$14:J26)</f>
        <v>256535.67669751766</v>
      </c>
      <c r="M26" s="28">
        <f>SUM($K$14:K26)</f>
        <v>299861.57660900115</v>
      </c>
      <c r="N26" s="39">
        <f t="shared" si="8"/>
        <v>1</v>
      </c>
    </row>
    <row r="27" spans="1:14" x14ac:dyDescent="0.25">
      <c r="A27" s="39">
        <v>14</v>
      </c>
      <c r="B27" s="28">
        <f t="shared" si="9"/>
        <v>217665.08293915624</v>
      </c>
      <c r="C27" s="28">
        <f t="shared" si="0"/>
        <v>210365.26395364382</v>
      </c>
      <c r="D27" s="28">
        <f t="shared" si="1"/>
        <v>7299.8189855124219</v>
      </c>
      <c r="E27" s="28">
        <f t="shared" si="2"/>
        <v>13783.223864513322</v>
      </c>
      <c r="F27" s="28">
        <f t="shared" si="3"/>
        <v>529406.40369928884</v>
      </c>
      <c r="G27" s="28">
        <f t="shared" si="10"/>
        <v>15419.603991241485</v>
      </c>
      <c r="H27" s="28">
        <f t="shared" si="4"/>
        <v>34318.202942507967</v>
      </c>
      <c r="I27" s="28">
        <f t="shared" si="5"/>
        <v>5232.5</v>
      </c>
      <c r="J27" s="28">
        <f t="shared" si="6"/>
        <v>16831.27996575406</v>
      </c>
      <c r="K27" s="28">
        <f t="shared" si="7"/>
        <v>28195.847298270026</v>
      </c>
      <c r="L27" s="28">
        <f>SUM($J$14:J27)</f>
        <v>273366.9566632717</v>
      </c>
      <c r="M27" s="28">
        <f>SUM($K$14:K27)</f>
        <v>328057.42390727118</v>
      </c>
      <c r="N27" s="39">
        <f t="shared" si="8"/>
        <v>1</v>
      </c>
    </row>
    <row r="28" spans="1:14" x14ac:dyDescent="0.25">
      <c r="A28" s="39">
        <v>15</v>
      </c>
      <c r="B28" s="28">
        <f t="shared" si="9"/>
        <v>210365.26395364382</v>
      </c>
      <c r="C28" s="28">
        <f t="shared" si="0"/>
        <v>202581.98355921957</v>
      </c>
      <c r="D28" s="28">
        <f t="shared" si="1"/>
        <v>7783.2803944242478</v>
      </c>
      <c r="E28" s="28">
        <f t="shared" si="2"/>
        <v>13299.762455601496</v>
      </c>
      <c r="F28" s="28">
        <f t="shared" si="3"/>
        <v>545288.59581026761</v>
      </c>
      <c r="G28" s="28">
        <f t="shared" si="10"/>
        <v>15882.192110978765</v>
      </c>
      <c r="H28" s="28">
        <f t="shared" si="4"/>
        <v>34715.257745282433</v>
      </c>
      <c r="I28" s="28">
        <f t="shared" si="5"/>
        <v>5232.5</v>
      </c>
      <c r="J28" s="28">
        <f t="shared" si="6"/>
        <v>16282.28523987942</v>
      </c>
      <c r="K28" s="28">
        <f t="shared" si="7"/>
        <v>29041.72271721813</v>
      </c>
      <c r="L28" s="28">
        <f>SUM($J$14:J28)</f>
        <v>289649.24190315115</v>
      </c>
      <c r="M28" s="28">
        <f>SUM($K$14:K28)</f>
        <v>357099.14662448934</v>
      </c>
      <c r="N28" s="39">
        <f t="shared" si="8"/>
        <v>1</v>
      </c>
    </row>
    <row r="29" spans="1:14" x14ac:dyDescent="0.25">
      <c r="A29" s="39">
        <v>16</v>
      </c>
      <c r="B29" s="28">
        <f t="shared" si="9"/>
        <v>202581.98355921957</v>
      </c>
      <c r="C29" s="28">
        <f t="shared" si="0"/>
        <v>194283.22247782044</v>
      </c>
      <c r="D29" s="28">
        <f t="shared" si="1"/>
        <v>8298.7610813991341</v>
      </c>
      <c r="E29" s="28">
        <f t="shared" si="2"/>
        <v>12784.28176862661</v>
      </c>
      <c r="F29" s="28">
        <f t="shared" si="3"/>
        <v>561647.25368457544</v>
      </c>
      <c r="G29" s="28">
        <f t="shared" si="10"/>
        <v>16358.657874307828</v>
      </c>
      <c r="H29" s="28">
        <f t="shared" si="4"/>
        <v>35124.224192140129</v>
      </c>
      <c r="I29" s="28">
        <f t="shared" si="5"/>
        <v>5232.5</v>
      </c>
      <c r="J29" s="28">
        <f t="shared" si="6"/>
        <v>15699.305236433167</v>
      </c>
      <c r="K29" s="28">
        <f t="shared" si="7"/>
        <v>29912.974398734677</v>
      </c>
      <c r="L29" s="28">
        <f>SUM($J$14:J29)</f>
        <v>305348.54713958432</v>
      </c>
      <c r="M29" s="28">
        <f>SUM($K$14:K29)</f>
        <v>387012.12102322403</v>
      </c>
      <c r="N29" s="39">
        <f t="shared" si="8"/>
        <v>1</v>
      </c>
    </row>
    <row r="30" spans="1:14" x14ac:dyDescent="0.25">
      <c r="A30" s="39">
        <v>17</v>
      </c>
      <c r="B30" s="28">
        <f t="shared" si="9"/>
        <v>194283.22247782044</v>
      </c>
      <c r="C30" s="28">
        <f t="shared" si="0"/>
        <v>185434.84081917154</v>
      </c>
      <c r="D30" s="28">
        <f t="shared" si="1"/>
        <v>8848.3816586488974</v>
      </c>
      <c r="E30" s="28">
        <f t="shared" si="2"/>
        <v>12234.661191376847</v>
      </c>
      <c r="F30" s="28">
        <f t="shared" si="3"/>
        <v>578496.6712951127</v>
      </c>
      <c r="G30" s="28">
        <f t="shared" si="10"/>
        <v>16849.417610537261</v>
      </c>
      <c r="H30" s="28">
        <f t="shared" si="4"/>
        <v>35545.459632403559</v>
      </c>
      <c r="I30" s="28">
        <f t="shared" si="5"/>
        <v>5232.5</v>
      </c>
      <c r="J30" s="28">
        <f t="shared" si="6"/>
        <v>15080.160363217401</v>
      </c>
      <c r="K30" s="28">
        <f t="shared" si="7"/>
        <v>30810.363630696713</v>
      </c>
      <c r="L30" s="28">
        <f>SUM($J$14:J30)</f>
        <v>320428.70750280173</v>
      </c>
      <c r="M30" s="28">
        <f>SUM($K$14:K30)</f>
        <v>417822.48465392075</v>
      </c>
      <c r="N30" s="39">
        <f t="shared" si="8"/>
        <v>1</v>
      </c>
    </row>
    <row r="31" spans="1:14" x14ac:dyDescent="0.25">
      <c r="A31" s="39">
        <v>18</v>
      </c>
      <c r="B31" s="28">
        <f t="shared" si="9"/>
        <v>185434.84081917154</v>
      </c>
      <c r="C31" s="28">
        <f t="shared" si="0"/>
        <v>176000.43763426697</v>
      </c>
      <c r="D31" s="28">
        <f t="shared" si="1"/>
        <v>9434.4031849045714</v>
      </c>
      <c r="E31" s="28">
        <f t="shared" si="2"/>
        <v>11648.639665121173</v>
      </c>
      <c r="F31" s="28">
        <f t="shared" si="3"/>
        <v>595851.57143396616</v>
      </c>
      <c r="G31" s="28">
        <f t="shared" si="10"/>
        <v>17354.900138853467</v>
      </c>
      <c r="H31" s="28">
        <f t="shared" si="4"/>
        <v>35979.332135874894</v>
      </c>
      <c r="I31" s="28">
        <f t="shared" si="5"/>
        <v>5232.5</v>
      </c>
      <c r="J31" s="28">
        <f t="shared" si="6"/>
        <v>14422.528812116856</v>
      </c>
      <c r="K31" s="28">
        <f t="shared" si="7"/>
        <v>31734.674539617612</v>
      </c>
      <c r="L31" s="28">
        <f>SUM($J$14:J31)</f>
        <v>334851.23631491861</v>
      </c>
      <c r="M31" s="28">
        <f>SUM($K$14:K31)</f>
        <v>449557.15919353836</v>
      </c>
      <c r="N31" s="39">
        <f t="shared" si="8"/>
        <v>1</v>
      </c>
    </row>
    <row r="32" spans="1:14" x14ac:dyDescent="0.25">
      <c r="A32" s="39">
        <v>19</v>
      </c>
      <c r="B32" s="28">
        <f t="shared" si="9"/>
        <v>176000.43763426697</v>
      </c>
      <c r="C32" s="28">
        <f t="shared" si="0"/>
        <v>165941.20116718533</v>
      </c>
      <c r="D32" s="28">
        <f t="shared" si="1"/>
        <v>10059.236467081646</v>
      </c>
      <c r="E32" s="28">
        <f t="shared" si="2"/>
        <v>11023.806382944098</v>
      </c>
      <c r="F32" s="28">
        <f t="shared" si="3"/>
        <v>613727.11857698509</v>
      </c>
      <c r="G32" s="28">
        <f t="shared" si="10"/>
        <v>17875.547143018921</v>
      </c>
      <c r="H32" s="28">
        <f t="shared" si="4"/>
        <v>36426.220814450367</v>
      </c>
      <c r="I32" s="28">
        <f t="shared" si="5"/>
        <v>5232.5</v>
      </c>
      <c r="J32" s="28">
        <f t="shared" si="6"/>
        <v>13723.937204349801</v>
      </c>
      <c r="K32" s="28">
        <f t="shared" si="7"/>
        <v>32686.714775806144</v>
      </c>
      <c r="L32" s="28">
        <f>SUM($J$14:J32)</f>
        <v>348575.1735192684</v>
      </c>
      <c r="M32" s="28">
        <f>SUM($K$14:K32)</f>
        <v>482243.87396934448</v>
      </c>
      <c r="N32" s="39">
        <f t="shared" si="8"/>
        <v>1</v>
      </c>
    </row>
    <row r="33" spans="1:14" x14ac:dyDescent="0.25">
      <c r="A33" s="39">
        <v>20</v>
      </c>
      <c r="B33" s="28">
        <f t="shared" si="9"/>
        <v>165941.20116718533</v>
      </c>
      <c r="C33" s="28">
        <f t="shared" si="0"/>
        <v>155215.74918919793</v>
      </c>
      <c r="D33" s="28">
        <f t="shared" si="1"/>
        <v>10725.451977987395</v>
      </c>
      <c r="E33" s="28">
        <f t="shared" si="2"/>
        <v>10357.590872038349</v>
      </c>
      <c r="F33" s="28">
        <f t="shared" si="3"/>
        <v>632138.93213429465</v>
      </c>
      <c r="G33" s="28">
        <f t="shared" si="10"/>
        <v>18411.813557309564</v>
      </c>
      <c r="H33" s="28">
        <f t="shared" si="4"/>
        <v>36886.516153383112</v>
      </c>
      <c r="I33" s="28">
        <f t="shared" si="5"/>
        <v>5232.5</v>
      </c>
      <c r="J33" s="28">
        <f t="shared" si="6"/>
        <v>12981.750618086153</v>
      </c>
      <c r="K33" s="28">
        <f t="shared" si="7"/>
        <v>33667.316219080327</v>
      </c>
      <c r="L33" s="28">
        <f>SUM($J$14:J33)</f>
        <v>361556.92413735454</v>
      </c>
      <c r="M33" s="28">
        <f>SUM($K$14:K33)</f>
        <v>515911.19018842478</v>
      </c>
      <c r="N33" s="39">
        <f t="shared" si="8"/>
        <v>1</v>
      </c>
    </row>
    <row r="34" spans="1:14" x14ac:dyDescent="0.25">
      <c r="A34" s="39">
        <v>21</v>
      </c>
      <c r="B34" s="28">
        <f t="shared" si="9"/>
        <v>155215.74918919793</v>
      </c>
      <c r="C34" s="28">
        <f t="shared" si="0"/>
        <v>143779.95875832764</v>
      </c>
      <c r="D34" s="28">
        <f t="shared" si="1"/>
        <v>11435.790430870285</v>
      </c>
      <c r="E34" s="28">
        <f t="shared" si="2"/>
        <v>9647.2524191554585</v>
      </c>
      <c r="F34" s="28">
        <f t="shared" si="3"/>
        <v>651103.10009832343</v>
      </c>
      <c r="G34" s="28">
        <f t="shared" si="10"/>
        <v>18964.167964028777</v>
      </c>
      <c r="H34" s="28">
        <f t="shared" si="4"/>
        <v>37360.620352483827</v>
      </c>
      <c r="I34" s="28">
        <f t="shared" si="5"/>
        <v>5232.5</v>
      </c>
      <c r="J34" s="28">
        <f t="shared" si="6"/>
        <v>12193.161957584765</v>
      </c>
      <c r="K34" s="28">
        <f t="shared" si="7"/>
        <v>34677.335705652731</v>
      </c>
      <c r="L34" s="28">
        <f>SUM($J$14:J34)</f>
        <v>373750.08609493932</v>
      </c>
      <c r="M34" s="28">
        <f>SUM($K$14:K34)</f>
        <v>550588.52589407749</v>
      </c>
      <c r="N34" s="39">
        <f t="shared" si="8"/>
        <v>1</v>
      </c>
    </row>
    <row r="35" spans="1:14" x14ac:dyDescent="0.25">
      <c r="A35" s="39">
        <v>22</v>
      </c>
      <c r="B35" s="28">
        <f t="shared" si="9"/>
        <v>143779.95875832764</v>
      </c>
      <c r="C35" s="28">
        <f t="shared" si="0"/>
        <v>131586.78470401384</v>
      </c>
      <c r="D35" s="28">
        <f t="shared" si="1"/>
        <v>12193.1740543138</v>
      </c>
      <c r="E35" s="28">
        <f t="shared" si="2"/>
        <v>8889.8687957119437</v>
      </c>
      <c r="F35" s="28">
        <f t="shared" si="3"/>
        <v>670636.19310127315</v>
      </c>
      <c r="G35" s="28">
        <f t="shared" si="10"/>
        <v>19533.093002949725</v>
      </c>
      <c r="H35" s="28">
        <f t="shared" si="4"/>
        <v>37848.947677557575</v>
      </c>
      <c r="I35" s="28">
        <f t="shared" si="5"/>
        <v>5232.5</v>
      </c>
      <c r="J35" s="28">
        <f t="shared" si="6"/>
        <v>11355.18062029405</v>
      </c>
      <c r="K35" s="28">
        <f t="shared" si="7"/>
        <v>35717.655776822314</v>
      </c>
      <c r="L35" s="28">
        <f>SUM($J$14:J35)</f>
        <v>385105.26671523339</v>
      </c>
      <c r="M35" s="28">
        <f>SUM($K$14:K35)</f>
        <v>586306.18167089985</v>
      </c>
      <c r="N35" s="39">
        <f t="shared" si="8"/>
        <v>1</v>
      </c>
    </row>
    <row r="36" spans="1:14" x14ac:dyDescent="0.25">
      <c r="A36" s="39">
        <v>23</v>
      </c>
      <c r="B36" s="28">
        <f t="shared" si="9"/>
        <v>131586.78470401384</v>
      </c>
      <c r="C36" s="28">
        <f t="shared" si="0"/>
        <v>118586.06609015615</v>
      </c>
      <c r="D36" s="28">
        <f t="shared" si="1"/>
        <v>13000.718613857694</v>
      </c>
      <c r="E36" s="28">
        <f t="shared" si="2"/>
        <v>8082.3242361680495</v>
      </c>
      <c r="F36" s="28">
        <f t="shared" si="3"/>
        <v>690755.2788943114</v>
      </c>
      <c r="G36" s="28">
        <f t="shared" si="10"/>
        <v>20119.085793038248</v>
      </c>
      <c r="H36" s="28">
        <f t="shared" si="4"/>
        <v>38351.924822383531</v>
      </c>
      <c r="I36" s="28">
        <f t="shared" si="5"/>
        <v>5232.5</v>
      </c>
      <c r="J36" s="28">
        <f t="shared" si="6"/>
        <v>10464.620415487589</v>
      </c>
      <c r="K36" s="28">
        <f t="shared" si="7"/>
        <v>36789.185450126985</v>
      </c>
      <c r="L36" s="28">
        <f>SUM($J$14:J36)</f>
        <v>395569.88713072101</v>
      </c>
      <c r="M36" s="28">
        <f>SUM($K$14:K36)</f>
        <v>623095.36712102685</v>
      </c>
      <c r="N36" s="39">
        <f t="shared" si="8"/>
        <v>1</v>
      </c>
    </row>
    <row r="37" spans="1:14" x14ac:dyDescent="0.25">
      <c r="A37" s="39">
        <v>24</v>
      </c>
      <c r="B37" s="28">
        <f t="shared" si="9"/>
        <v>118586.06609015615</v>
      </c>
      <c r="C37" s="28">
        <f t="shared" si="0"/>
        <v>104724.31986035396</v>
      </c>
      <c r="D37" s="28">
        <f t="shared" si="1"/>
        <v>13861.746229802186</v>
      </c>
      <c r="E37" s="28">
        <f t="shared" si="2"/>
        <v>7221.2966202235584</v>
      </c>
      <c r="F37" s="28">
        <f t="shared" si="3"/>
        <v>711477.93726114067</v>
      </c>
      <c r="G37" s="28">
        <f t="shared" si="10"/>
        <v>20722.658366829273</v>
      </c>
      <c r="H37" s="28">
        <f t="shared" si="4"/>
        <v>38869.991281554263</v>
      </c>
      <c r="I37" s="28">
        <f t="shared" si="5"/>
        <v>5232.5</v>
      </c>
      <c r="J37" s="28">
        <f t="shared" si="6"/>
        <v>9518.0866849228041</v>
      </c>
      <c r="K37" s="28">
        <f t="shared" si="7"/>
        <v>37892.861013630798</v>
      </c>
      <c r="L37" s="28">
        <f>SUM($J$14:J37)</f>
        <v>405087.97381564381</v>
      </c>
      <c r="M37" s="28">
        <f>SUM($K$14:K37)</f>
        <v>660988.22813465761</v>
      </c>
      <c r="N37" s="39">
        <f t="shared" si="8"/>
        <v>1</v>
      </c>
    </row>
    <row r="38" spans="1:14" x14ac:dyDescent="0.25">
      <c r="A38" s="39">
        <v>25</v>
      </c>
      <c r="B38" s="28">
        <f t="shared" si="9"/>
        <v>104724.31986035396</v>
      </c>
      <c r="C38" s="28">
        <f t="shared" si="0"/>
        <v>89944.520816428732</v>
      </c>
      <c r="D38" s="28">
        <f t="shared" si="1"/>
        <v>14779.799043925232</v>
      </c>
      <c r="E38" s="28">
        <f t="shared" si="2"/>
        <v>6303.2438061005123</v>
      </c>
      <c r="F38" s="28">
        <f t="shared" si="3"/>
        <v>732822.27537897485</v>
      </c>
      <c r="G38" s="28">
        <f t="shared" si="10"/>
        <v>21344.338117834181</v>
      </c>
      <c r="H38" s="28">
        <f t="shared" si="4"/>
        <v>39403.599734500109</v>
      </c>
      <c r="I38" s="28">
        <f t="shared" si="5"/>
        <v>5232.5</v>
      </c>
      <c r="J38" s="28">
        <f t="shared" si="6"/>
        <v>8511.9625727406965</v>
      </c>
      <c r="K38" s="28">
        <f t="shared" si="7"/>
        <v>39029.646844039715</v>
      </c>
      <c r="L38" s="28">
        <f>SUM($J$14:J38)</f>
        <v>413599.93638838449</v>
      </c>
      <c r="M38" s="28">
        <f>SUM($K$14:K38)</f>
        <v>700017.87497869728</v>
      </c>
      <c r="N38" s="39">
        <f t="shared" si="8"/>
        <v>1</v>
      </c>
    </row>
    <row r="39" spans="1:14" x14ac:dyDescent="0.25">
      <c r="A39" s="39">
        <v>26</v>
      </c>
      <c r="B39" s="28">
        <f t="shared" si="9"/>
        <v>89944.520816428732</v>
      </c>
      <c r="C39" s="28">
        <f t="shared" si="0"/>
        <v>74185.867025092477</v>
      </c>
      <c r="D39" s="28">
        <f t="shared" si="1"/>
        <v>15758.653791336255</v>
      </c>
      <c r="E39" s="28">
        <f t="shared" si="2"/>
        <v>5324.3890586894886</v>
      </c>
      <c r="F39" s="28">
        <f t="shared" si="3"/>
        <v>754806.94364034419</v>
      </c>
      <c r="G39" s="28">
        <f t="shared" si="10"/>
        <v>21984.668261369341</v>
      </c>
      <c r="H39" s="28">
        <f t="shared" si="4"/>
        <v>39953.216441034347</v>
      </c>
      <c r="I39" s="28">
        <f t="shared" si="5"/>
        <v>5232.5</v>
      </c>
      <c r="J39" s="28">
        <f t="shared" si="6"/>
        <v>7442.3943883287502</v>
      </c>
      <c r="K39" s="28">
        <f t="shared" si="7"/>
        <v>40200.536249360906</v>
      </c>
      <c r="L39" s="28">
        <f>SUM($J$14:J39)</f>
        <v>421042.33077671326</v>
      </c>
      <c r="M39" s="28">
        <f>SUM($K$14:K39)</f>
        <v>740218.41122805816</v>
      </c>
      <c r="N39" s="39">
        <f t="shared" si="8"/>
        <v>1</v>
      </c>
    </row>
    <row r="40" spans="1:14" x14ac:dyDescent="0.25">
      <c r="A40" s="39">
        <v>27</v>
      </c>
      <c r="B40" s="28">
        <f t="shared" si="9"/>
        <v>74185.867025092477</v>
      </c>
      <c r="C40" s="28">
        <f t="shared" si="0"/>
        <v>57383.5296876801</v>
      </c>
      <c r="D40" s="28">
        <f t="shared" si="1"/>
        <v>16802.337337412377</v>
      </c>
      <c r="E40" s="28">
        <f t="shared" si="2"/>
        <v>4280.7055126133673</v>
      </c>
      <c r="F40" s="28">
        <f t="shared" si="3"/>
        <v>777451.15194955445</v>
      </c>
      <c r="G40" s="28">
        <f t="shared" si="10"/>
        <v>22644.208309210255</v>
      </c>
      <c r="H40" s="28">
        <f t="shared" si="4"/>
        <v>40519.321648764599</v>
      </c>
      <c r="I40" s="28">
        <f t="shared" si="5"/>
        <v>5232.5</v>
      </c>
      <c r="J40" s="28">
        <f t="shared" si="6"/>
        <v>6305.2760021419672</v>
      </c>
      <c r="K40" s="28">
        <f t="shared" si="7"/>
        <v>41406.552336841742</v>
      </c>
      <c r="L40" s="28">
        <f>SUM($J$14:J40)</f>
        <v>427347.6067788552</v>
      </c>
      <c r="M40" s="28">
        <f>SUM($K$14:K40)</f>
        <v>781624.96356489987</v>
      </c>
      <c r="N40" s="39">
        <f t="shared" si="8"/>
        <v>1</v>
      </c>
    </row>
    <row r="41" spans="1:14" x14ac:dyDescent="0.25">
      <c r="A41" s="39">
        <v>28</v>
      </c>
      <c r="B41" s="28">
        <f t="shared" si="9"/>
        <v>57383.5296876801</v>
      </c>
      <c r="C41" s="28">
        <f t="shared" si="0"/>
        <v>39468.386443946038</v>
      </c>
      <c r="D41" s="28">
        <f t="shared" si="1"/>
        <v>17915.143243734063</v>
      </c>
      <c r="E41" s="28">
        <f t="shared" si="2"/>
        <v>3167.8996062916813</v>
      </c>
      <c r="F41" s="28">
        <f t="shared" si="3"/>
        <v>800774.68650804111</v>
      </c>
      <c r="G41" s="28">
        <f t="shared" si="10"/>
        <v>23323.534558486659</v>
      </c>
      <c r="H41" s="28">
        <f t="shared" si="4"/>
        <v>41102.410012726774</v>
      </c>
      <c r="I41" s="28">
        <f t="shared" si="5"/>
        <v>5232.5</v>
      </c>
      <c r="J41" s="28">
        <f t="shared" si="6"/>
        <v>5096.2322105060521</v>
      </c>
      <c r="K41" s="28">
        <f t="shared" si="7"/>
        <v>42648.748906946988</v>
      </c>
      <c r="L41" s="28">
        <f>SUM($J$14:J41)</f>
        <v>432443.83898936125</v>
      </c>
      <c r="M41" s="28">
        <f>SUM($K$14:K41)</f>
        <v>824273.71247184684</v>
      </c>
      <c r="N41" s="39">
        <f t="shared" si="8"/>
        <v>1</v>
      </c>
    </row>
    <row r="42" spans="1:14" x14ac:dyDescent="0.25">
      <c r="A42" s="39">
        <v>29</v>
      </c>
      <c r="B42" s="28">
        <f t="shared" si="9"/>
        <v>39468.386443946038</v>
      </c>
      <c r="C42" s="28">
        <f t="shared" si="0"/>
        <v>20366.737012775993</v>
      </c>
      <c r="D42" s="28">
        <f t="shared" si="1"/>
        <v>19101.649431170044</v>
      </c>
      <c r="E42" s="28">
        <f t="shared" si="2"/>
        <v>1981.3934188556996</v>
      </c>
      <c r="F42" s="28">
        <f t="shared" si="3"/>
        <v>824797.92710328219</v>
      </c>
      <c r="G42" s="28">
        <f t="shared" si="10"/>
        <v>24023.240595241077</v>
      </c>
      <c r="H42" s="28">
        <f t="shared" si="4"/>
        <v>41702.991027607801</v>
      </c>
      <c r="I42" s="28">
        <f t="shared" si="5"/>
        <v>5232.5</v>
      </c>
      <c r="J42" s="28">
        <f t="shared" si="6"/>
        <v>3810.6010011966791</v>
      </c>
      <c r="K42" s="28">
        <f t="shared" si="7"/>
        <v>43928.211374155399</v>
      </c>
      <c r="L42" s="28">
        <f>SUM($J$14:J42)</f>
        <v>436254.4399905579</v>
      </c>
      <c r="M42" s="28">
        <f>SUM($K$14:K42)</f>
        <v>868201.9238460022</v>
      </c>
      <c r="N42" s="39">
        <f t="shared" si="8"/>
        <v>1</v>
      </c>
    </row>
    <row r="43" spans="1:14" x14ac:dyDescent="0.25">
      <c r="A43" s="39">
        <v>30</v>
      </c>
      <c r="B43" s="28">
        <f t="shared" si="9"/>
        <v>20366.737012775993</v>
      </c>
      <c r="C43" s="28">
        <f t="shared" si="0"/>
        <v>1.3133103493601084E-9</v>
      </c>
      <c r="D43" s="28">
        <f t="shared" si="1"/>
        <v>20366.73701277468</v>
      </c>
      <c r="E43" s="28">
        <f t="shared" si="2"/>
        <v>716.30583725106408</v>
      </c>
      <c r="F43" s="28">
        <f t="shared" si="3"/>
        <v>849541.86491638073</v>
      </c>
      <c r="G43" s="28">
        <f t="shared" si="10"/>
        <v>24743.937813098542</v>
      </c>
      <c r="H43" s="28">
        <f t="shared" si="4"/>
        <v>42321.589472935259</v>
      </c>
      <c r="I43" s="28">
        <f t="shared" si="5"/>
        <v>5232.5</v>
      </c>
      <c r="J43" s="28">
        <f t="shared" si="6"/>
        <v>2443.4146470620362</v>
      </c>
      <c r="K43" s="28">
        <f t="shared" si="7"/>
        <v>45246.057715380055</v>
      </c>
      <c r="L43" s="28">
        <f>SUM($J$14:J43)</f>
        <v>438697.85463761992</v>
      </c>
      <c r="M43" s="28">
        <f>SUM($K$14:K43)</f>
        <v>913447.9815613823</v>
      </c>
      <c r="N43" s="39">
        <f t="shared" si="8"/>
        <v>1</v>
      </c>
    </row>
    <row r="45" spans="1:14" x14ac:dyDescent="0.25">
      <c r="A45" s="12" t="s">
        <v>333</v>
      </c>
      <c r="B45" s="12">
        <f>IFERROR(INDEX($A$14:$A$43,MATCH(1,$N$14:$N$43,0)),"Favors renting / no simple break-even")</f>
        <v>7</v>
      </c>
      <c r="C45" s="10" t="s">
        <v>334</v>
      </c>
    </row>
    <row r="48" spans="1:14" x14ac:dyDescent="0.25">
      <c r="A48" s="57" t="s">
        <v>335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6" x14ac:dyDescent="0.25">
      <c r="A49" s="39">
        <v>1</v>
      </c>
      <c r="B49" s="28">
        <v>30000</v>
      </c>
      <c r="C49" s="28">
        <v>6000</v>
      </c>
      <c r="D49" s="28">
        <f>SUM($B$49:B49)</f>
        <v>30000</v>
      </c>
      <c r="E49" s="28">
        <f>SUM($C$49:C49)</f>
        <v>6000</v>
      </c>
      <c r="F49" s="39">
        <f>IF(D49&lt;=E49,1,0)</f>
        <v>0</v>
      </c>
    </row>
    <row r="50" spans="1:6" x14ac:dyDescent="0.25">
      <c r="A50" s="39">
        <v>2</v>
      </c>
      <c r="B50" s="28">
        <v>30000</v>
      </c>
      <c r="C50" s="28">
        <v>6000</v>
      </c>
      <c r="D50" s="28">
        <f>SUM($B$49:B50)</f>
        <v>60000</v>
      </c>
      <c r="E50" s="28">
        <f>SUM($C$49:C50)</f>
        <v>12000</v>
      </c>
      <c r="F50" s="39">
        <f>IF(D50&lt;=E50,1,0)</f>
        <v>0</v>
      </c>
    </row>
    <row r="51" spans="1:6" x14ac:dyDescent="0.25">
      <c r="A51" s="39">
        <v>3</v>
      </c>
      <c r="B51" s="28">
        <v>30000</v>
      </c>
      <c r="C51" s="28">
        <v>6000</v>
      </c>
      <c r="D51" s="28">
        <f>SUM($B$49:B51)</f>
        <v>90000</v>
      </c>
      <c r="E51" s="28">
        <f>SUM($C$49:C51)</f>
        <v>18000</v>
      </c>
      <c r="F51" s="39">
        <f>IF(D51&lt;=E51,1,0)</f>
        <v>0</v>
      </c>
    </row>
    <row r="52" spans="1:6" x14ac:dyDescent="0.25">
      <c r="A52" s="39">
        <v>4</v>
      </c>
      <c r="B52" s="28">
        <v>30000</v>
      </c>
      <c r="C52" s="28">
        <v>6000</v>
      </c>
      <c r="D52" s="28">
        <f>SUM($B$49:B52)</f>
        <v>120000</v>
      </c>
      <c r="E52" s="28">
        <f>SUM($C$49:C52)</f>
        <v>24000</v>
      </c>
      <c r="F52" s="39">
        <f>IF(D52&lt;=E52,1,0)</f>
        <v>0</v>
      </c>
    </row>
    <row r="53" spans="1:6" x14ac:dyDescent="0.25">
      <c r="A53" s="39">
        <v>5</v>
      </c>
      <c r="B53" s="28">
        <v>30000</v>
      </c>
      <c r="C53" s="28">
        <v>6000</v>
      </c>
      <c r="D53" s="28">
        <f>SUM($B$49:B53)</f>
        <v>150000</v>
      </c>
      <c r="E53" s="28">
        <f>SUM($C$49:C53)</f>
        <v>30000</v>
      </c>
      <c r="F53" s="39">
        <f>IF(D53&lt;=E53,1,0)</f>
        <v>0</v>
      </c>
    </row>
    <row r="55" spans="1:6" x14ac:dyDescent="0.25">
      <c r="A55" s="5" t="s">
        <v>336</v>
      </c>
      <c r="B55" s="7" t="str">
        <f>IFERROR(INDEX($A$49:$A$53,MATCH(1,$F$49:$F$53,0)),"Favors renting / no simple break-even")</f>
        <v>Favors renting / no simple break-even</v>
      </c>
    </row>
    <row r="57" spans="1:6" x14ac:dyDescent="0.25">
      <c r="A57" s="10" t="s">
        <v>37</v>
      </c>
    </row>
  </sheetData>
  <sheetProtection sheet="1"/>
  <mergeCells count="3">
    <mergeCell ref="A48:N48"/>
    <mergeCell ref="A3:N3"/>
    <mergeCell ref="A1:N1"/>
  </mergeCells>
  <conditionalFormatting sqref="B11">
    <cfRule type="cellIs" dxfId="3" priority="1" operator="lessThanOrEqual">
      <formula>0.28</formula>
    </cfRule>
    <cfRule type="cellIs" dxfId="2" priority="2" operator="greaterThan">
      <formula>0.28</formula>
    </cfRule>
  </conditionalFormatting>
  <dataValidations count="3">
    <dataValidation type="decimal" errorStyle="warning" operator="greaterThanOrEqual" allowBlank="1" showInputMessage="1" showErrorMessage="1" promptTitle="Amount" prompt="Enter a dollar (or unit) amount, 0 or more." sqref="B4 B9" xr:uid="{00000000-0002-0000-0A00-000000000000}">
      <formula1>0</formula1>
    </dataValidation>
    <dataValidation type="decimal" errorStyle="warning" allowBlank="1" showInputMessage="1" showErrorMessage="1" promptTitle="Rate" prompt="Enter as a decimal: 0.05 = 5%." sqref="B5 B6 B7 B10 E4 E5 E6 E7 E8" xr:uid="{00000000-0002-0000-0A00-000001000000}">
      <formula1>0</formula1>
      <formula2>1</formula2>
    </dataValidation>
    <dataValidation type="whole" errorStyle="warning" allowBlank="1" showInputMessage="1" showErrorMessage="1" promptTitle="Whole number" prompt="Whole number between 1 and 50." sqref="B8" xr:uid="{00000000-0002-0000-0A00-000002000000}">
      <formula1>1</formula1>
      <formula2>50</formula2>
    </dataValidation>
  </dataValidations>
  <pageMargins left="0.75" right="0.75" top="1" bottom="1" header="0.5" footer="0.5"/>
  <pageSetup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44546A"/>
    <pageSetUpPr fitToPage="1"/>
  </sheetPr>
  <dimension ref="A1:G26"/>
  <sheetViews>
    <sheetView workbookViewId="0">
      <pane ySplit="2" topLeftCell="A3" activePane="bottomLeft" state="frozen"/>
      <selection pane="bottomLeft" sqref="A1:G1"/>
    </sheetView>
  </sheetViews>
  <sheetFormatPr defaultRowHeight="15" x14ac:dyDescent="0.25"/>
  <cols>
    <col min="1" max="1" width="30" customWidth="1"/>
    <col min="2" max="2" width="15" customWidth="1"/>
    <col min="3" max="3" width="38" customWidth="1"/>
    <col min="4" max="4" width="10" customWidth="1"/>
    <col min="5" max="5" width="18" customWidth="1"/>
  </cols>
  <sheetData>
    <row r="1" spans="1:7" ht="24" customHeight="1" x14ac:dyDescent="0.25">
      <c r="A1" s="59" t="s">
        <v>337</v>
      </c>
      <c r="B1" s="60"/>
      <c r="C1" s="60"/>
      <c r="D1" s="60"/>
      <c r="E1" s="60"/>
      <c r="F1" s="60"/>
      <c r="G1" s="60"/>
    </row>
    <row r="2" spans="1:7" x14ac:dyDescent="0.25">
      <c r="A2" s="10" t="s">
        <v>338</v>
      </c>
      <c r="G2" s="9" t="str">
        <f>HYPERLINK("#Dashboard!A1","&lt; Dashboard")</f>
        <v>&lt; Dashboard</v>
      </c>
    </row>
    <row r="3" spans="1:7" x14ac:dyDescent="0.25">
      <c r="A3" s="57" t="s">
        <v>339</v>
      </c>
      <c r="B3" s="58"/>
      <c r="C3" s="58"/>
      <c r="D3" s="58"/>
      <c r="E3" s="58"/>
      <c r="F3" s="58"/>
      <c r="G3" s="58"/>
    </row>
    <row r="4" spans="1:7" x14ac:dyDescent="0.25">
      <c r="A4" s="5" t="s">
        <v>127</v>
      </c>
      <c r="B4" s="48">
        <f>AllocStocks</f>
        <v>0.6</v>
      </c>
    </row>
    <row r="5" spans="1:7" x14ac:dyDescent="0.25">
      <c r="A5" s="5" t="s">
        <v>128</v>
      </c>
      <c r="B5" s="48">
        <f>AllocBonds</f>
        <v>0.1</v>
      </c>
    </row>
    <row r="6" spans="1:7" x14ac:dyDescent="0.25">
      <c r="A6" s="5" t="s">
        <v>129</v>
      </c>
      <c r="B6" s="48">
        <f>AllocCash</f>
        <v>0.05</v>
      </c>
    </row>
    <row r="7" spans="1:7" x14ac:dyDescent="0.25">
      <c r="A7" s="5" t="s">
        <v>130</v>
      </c>
      <c r="B7" s="48">
        <f>AllocBTC</f>
        <v>0.25</v>
      </c>
    </row>
    <row r="8" spans="1:7" x14ac:dyDescent="0.25">
      <c r="A8" s="12" t="s">
        <v>131</v>
      </c>
      <c r="B8" s="49">
        <f>AllocTotal</f>
        <v>1</v>
      </c>
      <c r="C8" s="7" t="str">
        <f>IF(ABS(AllocTotal-1)&gt;0.001,"WARNING: fix allocation on Assumptions","OK")</f>
        <v>OK</v>
      </c>
    </row>
    <row r="10" spans="1:7" x14ac:dyDescent="0.25">
      <c r="A10" s="57" t="s">
        <v>340</v>
      </c>
      <c r="B10" s="58"/>
      <c r="C10" s="58"/>
      <c r="D10" s="58"/>
      <c r="E10" s="58"/>
      <c r="F10" s="58"/>
      <c r="G10" s="58"/>
    </row>
    <row r="11" spans="1:7" x14ac:dyDescent="0.25">
      <c r="A11" s="2" t="s">
        <v>341</v>
      </c>
      <c r="B11" s="2" t="s">
        <v>342</v>
      </c>
      <c r="C11" s="2" t="s">
        <v>343</v>
      </c>
      <c r="D11" s="2" t="s">
        <v>344</v>
      </c>
      <c r="E11" s="2" t="s">
        <v>345</v>
      </c>
    </row>
    <row r="12" spans="1:7" x14ac:dyDescent="0.25">
      <c r="A12" s="5" t="s">
        <v>127</v>
      </c>
      <c r="B12" s="32">
        <v>0.62</v>
      </c>
      <c r="C12" s="48">
        <f>AllocStocks</f>
        <v>0.6</v>
      </c>
      <c r="D12" s="23">
        <f>B12-C12</f>
        <v>2.0000000000000018E-2</v>
      </c>
      <c r="E12" s="7" t="str">
        <f>IF(ABS(D12)&gt;RebalBand,"Rebalance","Hold")</f>
        <v>Hold</v>
      </c>
    </row>
    <row r="13" spans="1:7" x14ac:dyDescent="0.25">
      <c r="A13" s="5" t="s">
        <v>128</v>
      </c>
      <c r="B13" s="32">
        <v>0.09</v>
      </c>
      <c r="C13" s="48">
        <f>AllocBonds</f>
        <v>0.1</v>
      </c>
      <c r="D13" s="23">
        <f>B13-C13</f>
        <v>-1.0000000000000009E-2</v>
      </c>
      <c r="E13" s="7" t="str">
        <f>IF(ABS(D13)&gt;RebalBand,"Rebalance","Hold")</f>
        <v>Hold</v>
      </c>
    </row>
    <row r="14" spans="1:7" x14ac:dyDescent="0.25">
      <c r="A14" s="5" t="s">
        <v>129</v>
      </c>
      <c r="B14" s="32">
        <v>0.05</v>
      </c>
      <c r="C14" s="48">
        <f>AllocCash</f>
        <v>0.05</v>
      </c>
      <c r="D14" s="23">
        <f>B14-C14</f>
        <v>0</v>
      </c>
      <c r="E14" s="7" t="str">
        <f>IF(ABS(D14)&gt;RebalBand,"Rebalance","Hold")</f>
        <v>Hold</v>
      </c>
    </row>
    <row r="15" spans="1:7" x14ac:dyDescent="0.25">
      <c r="A15" s="5" t="s">
        <v>130</v>
      </c>
      <c r="B15" s="32">
        <v>0.24</v>
      </c>
      <c r="C15" s="48">
        <f>AllocBTC</f>
        <v>0.25</v>
      </c>
      <c r="D15" s="23">
        <f>B15-C15</f>
        <v>-1.0000000000000009E-2</v>
      </c>
      <c r="E15" s="7" t="str">
        <f>IF(ABS(D15)&gt;RebalBand,"Rebalance","Hold")</f>
        <v>Hold</v>
      </c>
    </row>
    <row r="16" spans="1:7" x14ac:dyDescent="0.25">
      <c r="A16" s="5" t="s">
        <v>346</v>
      </c>
      <c r="B16" s="32">
        <v>0.05</v>
      </c>
    </row>
    <row r="17" spans="1:7" x14ac:dyDescent="0.25">
      <c r="A17" s="57" t="s">
        <v>347</v>
      </c>
      <c r="B17" s="58"/>
      <c r="C17" s="58"/>
      <c r="D17" s="58"/>
      <c r="E17" s="58"/>
      <c r="F17" s="58"/>
      <c r="G17" s="58"/>
    </row>
    <row r="18" spans="1:7" x14ac:dyDescent="0.25">
      <c r="A18" s="5" t="s">
        <v>348</v>
      </c>
      <c r="B18" s="25">
        <v>100000</v>
      </c>
    </row>
    <row r="19" spans="1:7" x14ac:dyDescent="0.25">
      <c r="A19" s="5" t="s">
        <v>349</v>
      </c>
      <c r="B19" s="30">
        <v>30</v>
      </c>
    </row>
    <row r="20" spans="1:7" x14ac:dyDescent="0.25">
      <c r="A20" s="5" t="s">
        <v>350</v>
      </c>
      <c r="B20" s="32">
        <v>7.0000000000000007E-2</v>
      </c>
    </row>
    <row r="21" spans="1:7" x14ac:dyDescent="0.25">
      <c r="A21" s="5" t="s">
        <v>351</v>
      </c>
      <c r="B21" s="31">
        <v>7.4999999999999997E-3</v>
      </c>
    </row>
    <row r="22" spans="1:7" x14ac:dyDescent="0.25">
      <c r="A22" s="5" t="s">
        <v>352</v>
      </c>
      <c r="B22" s="28">
        <f>FV(FeeGross,FeeYears,0,-FeePrincipal)</f>
        <v>761225.50426620303</v>
      </c>
    </row>
    <row r="23" spans="1:7" x14ac:dyDescent="0.25">
      <c r="A23" s="5" t="s">
        <v>353</v>
      </c>
      <c r="B23" s="28">
        <f>FV(FeeGross-FeeER,FeeYears,0,-FeePrincipal)</f>
        <v>616407.8511584826</v>
      </c>
    </row>
    <row r="24" spans="1:7" x14ac:dyDescent="0.25">
      <c r="A24" s="12" t="s">
        <v>354</v>
      </c>
      <c r="B24" s="26">
        <f>B22-B23</f>
        <v>144817.65310772043</v>
      </c>
    </row>
    <row r="26" spans="1:7" x14ac:dyDescent="0.25">
      <c r="A26" s="10" t="s">
        <v>37</v>
      </c>
    </row>
  </sheetData>
  <sheetProtection sheet="1" objects="1" scenarios="1"/>
  <mergeCells count="4">
    <mergeCell ref="A3:G3"/>
    <mergeCell ref="A1:G1"/>
    <mergeCell ref="A10:G10"/>
    <mergeCell ref="A17:G17"/>
  </mergeCells>
  <dataValidations count="3">
    <dataValidation type="decimal" errorStyle="warning" allowBlank="1" showInputMessage="1" showErrorMessage="1" promptTitle="Rate" prompt="Enter as a decimal: 0.05 = 5%." sqref="B12 B13 B14 B15 B16 B20 B21" xr:uid="{00000000-0002-0000-0B00-000000000000}">
      <formula1>0</formula1>
      <formula2>1</formula2>
    </dataValidation>
    <dataValidation type="decimal" errorStyle="warning" operator="greaterThanOrEqual" allowBlank="1" showInputMessage="1" showErrorMessage="1" promptTitle="Amount" prompt="Enter a dollar (or unit) amount, 0 or more." sqref="B18" xr:uid="{00000000-0002-0000-0B00-000001000000}">
      <formula1>0</formula1>
    </dataValidation>
    <dataValidation type="whole" errorStyle="warning" allowBlank="1" showInputMessage="1" showErrorMessage="1" promptTitle="Whole number" prompt="Whole number between 1 and 60." sqref="B19" xr:uid="{00000000-0002-0000-0B00-000002000000}">
      <formula1>1</formula1>
      <formula2>60</formula2>
    </dataValidation>
  </dataValidations>
  <pageMargins left="0.75" right="0.75" top="1" bottom="1" header="0.5" footer="0.5"/>
  <pageSetup fitToHeight="0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44546A"/>
    <pageSetUpPr fitToPage="1"/>
  </sheetPr>
  <dimension ref="A1:F2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42" customWidth="1"/>
    <col min="2" max="2" width="16" customWidth="1"/>
  </cols>
  <sheetData>
    <row r="1" spans="1:6" ht="24" customHeight="1" x14ac:dyDescent="0.25">
      <c r="A1" s="59" t="s">
        <v>355</v>
      </c>
      <c r="B1" s="60"/>
      <c r="C1" s="60"/>
      <c r="D1" s="60"/>
      <c r="E1" s="60"/>
      <c r="F1" s="60"/>
    </row>
    <row r="2" spans="1:6" x14ac:dyDescent="0.25">
      <c r="A2" s="10" t="s">
        <v>356</v>
      </c>
      <c r="D2" s="9" t="str">
        <f>HYPERLINK("#Dashboard!A1","&lt; Dashboard")</f>
        <v>&lt; Dashboard</v>
      </c>
    </row>
    <row r="4" spans="1:6" x14ac:dyDescent="0.25">
      <c r="A4" s="5" t="s">
        <v>357</v>
      </c>
      <c r="B4" s="50">
        <f>BTCStack</f>
        <v>0.25</v>
      </c>
    </row>
    <row r="5" spans="1:6" x14ac:dyDescent="0.25">
      <c r="A5" s="5" t="s">
        <v>358</v>
      </c>
      <c r="B5" s="51">
        <f>BTCStack*100000000</f>
        <v>25000000</v>
      </c>
    </row>
    <row r="6" spans="1:6" x14ac:dyDescent="0.25">
      <c r="A6" s="5" t="s">
        <v>359</v>
      </c>
      <c r="B6" s="28">
        <f>BTCStack*BTCPriceSeed</f>
        <v>15016.4</v>
      </c>
    </row>
    <row r="7" spans="1:6" x14ac:dyDescent="0.25">
      <c r="A7" s="5" t="s">
        <v>360</v>
      </c>
      <c r="B7" s="28">
        <f>AnnualBTCDCA/12</f>
        <v>450</v>
      </c>
    </row>
    <row r="8" spans="1:6" x14ac:dyDescent="0.25">
      <c r="A8" s="5" t="s">
        <v>361</v>
      </c>
      <c r="B8" s="51">
        <f>IF(BTCPriceSeed&lt;=0,0,AnnualBTCDCA/12/BTCPriceSeed*100000000)</f>
        <v>749180.89555419411</v>
      </c>
    </row>
    <row r="9" spans="1:6" x14ac:dyDescent="0.25">
      <c r="A9" s="5" t="s">
        <v>362</v>
      </c>
      <c r="B9" s="51">
        <f>IF(BTCPriceSeed&lt;=0,0,MonthlyExpenses/BTCPriceSeed*100000000)</f>
        <v>6326416.4513465278</v>
      </c>
    </row>
    <row r="11" spans="1:6" x14ac:dyDescent="0.25">
      <c r="A11" s="57" t="s">
        <v>363</v>
      </c>
      <c r="B11" s="58"/>
      <c r="C11" s="58"/>
      <c r="D11" s="58"/>
      <c r="E11" s="58"/>
      <c r="F11" s="58"/>
    </row>
    <row r="12" spans="1:6" x14ac:dyDescent="0.25">
      <c r="A12" s="5" t="s">
        <v>364</v>
      </c>
      <c r="B12" s="28">
        <f>INDEX(Projections!$J$4:$J$64,TargetRowIdx)</f>
        <v>184618.07665743786</v>
      </c>
    </row>
    <row r="13" spans="1:6" x14ac:dyDescent="0.25">
      <c r="A13" s="5" t="s">
        <v>365</v>
      </c>
      <c r="B13" s="28">
        <f>INDEX(Projections!$K$4:$K$64,TargetRowIdx)</f>
        <v>878407.22689913819</v>
      </c>
    </row>
    <row r="14" spans="1:6" x14ac:dyDescent="0.25">
      <c r="A14" s="5" t="s">
        <v>366</v>
      </c>
      <c r="B14" s="28">
        <f>INDEX(Projections!$L$4:$L$64,TargetRowIdx)</f>
        <v>3684352.0185519354</v>
      </c>
    </row>
    <row r="16" spans="1:6" x14ac:dyDescent="0.25">
      <c r="A16" s="57" t="s">
        <v>367</v>
      </c>
      <c r="B16" s="58"/>
      <c r="C16" s="58"/>
      <c r="D16" s="58"/>
      <c r="E16" s="58"/>
      <c r="F16" s="58"/>
    </row>
    <row r="17" spans="1:2" x14ac:dyDescent="0.25">
      <c r="A17" s="5" t="s">
        <v>368</v>
      </c>
      <c r="B17" s="8" t="str">
        <f>BTCStress</f>
        <v>Normal</v>
      </c>
    </row>
    <row r="18" spans="1:2" x14ac:dyDescent="0.25">
      <c r="A18" s="5" t="s">
        <v>369</v>
      </c>
      <c r="B18" s="28">
        <f>INDEX(Projections!$S$4:$U$64,TargetRowIdx,ScenIndex)</f>
        <v>611298.88772953313</v>
      </c>
    </row>
    <row r="20" spans="1:2" x14ac:dyDescent="0.25">
      <c r="A20" s="10" t="s">
        <v>370</v>
      </c>
    </row>
    <row r="22" spans="1:2" x14ac:dyDescent="0.25">
      <c r="A22" s="10" t="s">
        <v>37</v>
      </c>
    </row>
  </sheetData>
  <sheetProtection sheet="1"/>
  <mergeCells count="3">
    <mergeCell ref="A16:F16"/>
    <mergeCell ref="A11:F11"/>
    <mergeCell ref="A1:F1"/>
  </mergeCells>
  <pageMargins left="0.75" right="0.75" top="1" bottom="1" header="0.5" footer="0.5"/>
  <pageSetup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44546A"/>
    <pageSetUpPr fitToPage="1"/>
  </sheetPr>
  <dimension ref="A1:F20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38" customWidth="1"/>
    <col min="2" max="3" width="14" customWidth="1"/>
  </cols>
  <sheetData>
    <row r="1" spans="1:6" ht="24" customHeight="1" x14ac:dyDescent="0.25">
      <c r="A1" s="59" t="s">
        <v>371</v>
      </c>
      <c r="B1" s="60"/>
      <c r="C1" s="60"/>
      <c r="D1" s="60"/>
      <c r="E1" s="60"/>
      <c r="F1" s="60"/>
    </row>
    <row r="2" spans="1:6" x14ac:dyDescent="0.25">
      <c r="A2" s="10" t="s">
        <v>372</v>
      </c>
      <c r="E2" s="9" t="str">
        <f>HYPERLINK("#Dashboard!A1","&lt; Dashboard")</f>
        <v>&lt; Dashboard</v>
      </c>
    </row>
    <row r="3" spans="1:6" x14ac:dyDescent="0.25">
      <c r="A3" s="2"/>
      <c r="B3" s="2" t="s">
        <v>373</v>
      </c>
      <c r="C3" s="2" t="s">
        <v>374</v>
      </c>
    </row>
    <row r="4" spans="1:6" x14ac:dyDescent="0.25">
      <c r="A4" s="5" t="s">
        <v>375</v>
      </c>
      <c r="B4" s="25">
        <v>78000</v>
      </c>
      <c r="C4" s="25">
        <v>85000</v>
      </c>
    </row>
    <row r="5" spans="1:6" x14ac:dyDescent="0.25">
      <c r="A5" s="5" t="s">
        <v>376</v>
      </c>
      <c r="B5" s="32">
        <v>0.05</v>
      </c>
      <c r="C5" s="32">
        <v>0.05</v>
      </c>
    </row>
    <row r="6" spans="1:6" x14ac:dyDescent="0.25">
      <c r="A6" s="5" t="s">
        <v>377</v>
      </c>
      <c r="B6" s="32">
        <v>0.04</v>
      </c>
      <c r="C6" s="32">
        <v>0.03</v>
      </c>
    </row>
    <row r="7" spans="1:6" x14ac:dyDescent="0.25">
      <c r="A7" s="5" t="s">
        <v>378</v>
      </c>
      <c r="B7" s="25">
        <v>6000</v>
      </c>
      <c r="C7" s="25">
        <v>4500</v>
      </c>
    </row>
    <row r="8" spans="1:6" x14ac:dyDescent="0.25">
      <c r="A8" s="5" t="s">
        <v>379</v>
      </c>
      <c r="B8" s="52">
        <v>100</v>
      </c>
      <c r="C8" s="52">
        <v>108</v>
      </c>
    </row>
    <row r="9" spans="1:6" x14ac:dyDescent="0.25">
      <c r="A9" s="5" t="s">
        <v>380</v>
      </c>
      <c r="B9" s="28">
        <f>B4*(1+B5)+B4*B6+B7</f>
        <v>91020</v>
      </c>
      <c r="C9" s="28">
        <f>C4*(1+C5)+C4*C6+C7</f>
        <v>96300</v>
      </c>
    </row>
    <row r="10" spans="1:6" x14ac:dyDescent="0.25">
      <c r="A10" s="12" t="s">
        <v>381</v>
      </c>
      <c r="B10" s="26">
        <f>IF(B8=0,0,B9/B8*100)</f>
        <v>91020</v>
      </c>
      <c r="C10" s="26">
        <f>IF(C8=0,0,C9/C8*100)</f>
        <v>89166.666666666657</v>
      </c>
    </row>
    <row r="12" spans="1:6" x14ac:dyDescent="0.25">
      <c r="A12" s="7" t="str">
        <f>IF(B10=C10,"Dead even on adjusted comp",IF(B10&gt;C10,"Offer A wins on COL-adjusted comp by "&amp;TEXT(B10-C10,"$#,##0"),"Offer B wins on COL-adjusted comp by "&amp;TEXT(C10-B10,"$#,##0")))</f>
        <v>Offer A wins on COL-adjusted comp by $1,853</v>
      </c>
    </row>
    <row r="14" spans="1:6" x14ac:dyDescent="0.25">
      <c r="A14" s="57" t="s">
        <v>382</v>
      </c>
      <c r="B14" s="58"/>
      <c r="C14" s="58"/>
      <c r="D14" s="58"/>
      <c r="E14" s="58"/>
      <c r="F14" s="58"/>
    </row>
    <row r="15" spans="1:6" x14ac:dyDescent="0.25">
      <c r="A15" s="5" t="s">
        <v>383</v>
      </c>
      <c r="B15" s="25">
        <v>5000</v>
      </c>
    </row>
    <row r="16" spans="1:6" x14ac:dyDescent="0.25">
      <c r="A16" s="5" t="s">
        <v>384</v>
      </c>
      <c r="B16" s="30">
        <v>20</v>
      </c>
    </row>
    <row r="17" spans="1:2" x14ac:dyDescent="0.25">
      <c r="A17" s="5" t="s">
        <v>385</v>
      </c>
      <c r="B17" s="32">
        <v>7.0000000000000007E-2</v>
      </c>
    </row>
    <row r="18" spans="1:2" x14ac:dyDescent="0.25">
      <c r="A18" s="12" t="s">
        <v>386</v>
      </c>
      <c r="B18" s="26">
        <f>FV(RaiseReturn,RaiseYears,-RaiseAmt,0)</f>
        <v>204977.46160615567</v>
      </c>
    </row>
    <row r="20" spans="1:2" x14ac:dyDescent="0.25">
      <c r="A20" s="10" t="s">
        <v>37</v>
      </c>
    </row>
  </sheetData>
  <sheetProtection sheet="1"/>
  <mergeCells count="2">
    <mergeCell ref="A14:F14"/>
    <mergeCell ref="A1:F1"/>
  </mergeCells>
  <dataValidations count="4">
    <dataValidation type="decimal" errorStyle="warning" operator="greaterThanOrEqual" allowBlank="1" showInputMessage="1" showErrorMessage="1" promptTitle="Amount" prompt="Enter a dollar (or unit) amount, 0 or more." sqref="B4 B7 B15 C4 C7" xr:uid="{00000000-0002-0000-0D00-000000000000}">
      <formula1>0</formula1>
    </dataValidation>
    <dataValidation type="decimal" errorStyle="warning" allowBlank="1" showInputMessage="1" showErrorMessage="1" promptTitle="Rate" prompt="Enter as a decimal: 0.05 = 5%." sqref="B5 B6 B17 C5 C6" xr:uid="{00000000-0002-0000-0D00-000001000000}">
      <formula1>0</formula1>
      <formula2>1</formula2>
    </dataValidation>
    <dataValidation type="decimal" errorStyle="warning" allowBlank="1" showInputMessage="1" showErrorMessage="1" promptTitle="Rate" prompt="Enter as a decimal: 0.05 = 5%." sqref="B8 C8" xr:uid="{00000000-0002-0000-0D00-000002000000}">
      <formula1>50</formula1>
      <formula2>200</formula2>
    </dataValidation>
    <dataValidation type="whole" errorStyle="warning" allowBlank="1" showInputMessage="1" showErrorMessage="1" promptTitle="Whole number" prompt="Whole number between 1 and 60." sqref="B16" xr:uid="{00000000-0002-0000-0D00-000003000000}">
      <formula1>1</formula1>
      <formula2>60</formula2>
    </dataValidation>
  </dataValidations>
  <pageMargins left="0.75" right="0.75" top="1" bottom="1" header="0.5" footer="0.5"/>
  <pageSetup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4546A"/>
    <pageSetUpPr fitToPage="1"/>
  </sheetPr>
  <dimension ref="A1:F28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40" customWidth="1"/>
    <col min="2" max="2" width="15" customWidth="1"/>
  </cols>
  <sheetData>
    <row r="1" spans="1:6" ht="24" customHeight="1" x14ac:dyDescent="0.25">
      <c r="A1" s="59" t="s">
        <v>387</v>
      </c>
      <c r="B1" s="60"/>
      <c r="C1" s="60"/>
      <c r="D1" s="60"/>
      <c r="E1" s="60"/>
      <c r="F1" s="60"/>
    </row>
    <row r="2" spans="1:6" x14ac:dyDescent="0.25">
      <c r="A2" s="10" t="s">
        <v>388</v>
      </c>
      <c r="D2" s="9" t="str">
        <f>HYPERLINK("#Dashboard!A1","&lt; Dashboard")</f>
        <v>&lt; Dashboard</v>
      </c>
    </row>
    <row r="3" spans="1:6" x14ac:dyDescent="0.25">
      <c r="A3" s="57" t="s">
        <v>389</v>
      </c>
      <c r="B3" s="58"/>
      <c r="C3" s="58"/>
      <c r="D3" s="58"/>
      <c r="E3" s="58"/>
      <c r="F3" s="58"/>
    </row>
    <row r="4" spans="1:6" x14ac:dyDescent="0.25">
      <c r="A4" s="5" t="s">
        <v>390</v>
      </c>
      <c r="B4" s="30">
        <v>6</v>
      </c>
    </row>
    <row r="5" spans="1:6" x14ac:dyDescent="0.25">
      <c r="A5" s="5" t="s">
        <v>343</v>
      </c>
      <c r="B5" s="28">
        <f>EFMonths*MonthlyExpenses</f>
        <v>22800</v>
      </c>
    </row>
    <row r="6" spans="1:6" x14ac:dyDescent="0.25">
      <c r="A6" s="5" t="s">
        <v>391</v>
      </c>
      <c r="B6" s="23">
        <f>IF(EFMonths*MonthlyExpenses=0,0,CashOnHand/(EFMonths*MonthlyExpenses))</f>
        <v>0.52631578947368418</v>
      </c>
    </row>
    <row r="7" spans="1:6" x14ac:dyDescent="0.25">
      <c r="A7" s="5" t="s">
        <v>392</v>
      </c>
      <c r="B7" s="46">
        <f>IF(MonthlyExpenses=0,0,CashOnHand/MonthlyExpenses)</f>
        <v>3.1578947368421053</v>
      </c>
    </row>
    <row r="9" spans="1:6" x14ac:dyDescent="0.25">
      <c r="A9" s="57" t="s">
        <v>393</v>
      </c>
      <c r="B9" s="58"/>
      <c r="C9" s="58"/>
      <c r="D9" s="58"/>
      <c r="E9" s="58"/>
      <c r="F9" s="58"/>
    </row>
    <row r="10" spans="1:6" x14ac:dyDescent="0.25">
      <c r="A10" s="5" t="s">
        <v>394</v>
      </c>
      <c r="B10" s="27">
        <f>TotalDebtBalance</f>
        <v>12500</v>
      </c>
    </row>
    <row r="11" spans="1:6" x14ac:dyDescent="0.25">
      <c r="A11" s="5" t="s">
        <v>395</v>
      </c>
      <c r="B11" s="30">
        <v>10</v>
      </c>
    </row>
    <row r="12" spans="1:6" x14ac:dyDescent="0.25">
      <c r="A12" s="5" t="s">
        <v>396</v>
      </c>
      <c r="B12" s="25">
        <v>0</v>
      </c>
    </row>
    <row r="13" spans="1:6" x14ac:dyDescent="0.25">
      <c r="A13" s="5" t="s">
        <v>397</v>
      </c>
      <c r="B13" s="25">
        <v>50000</v>
      </c>
    </row>
    <row r="14" spans="1:6" x14ac:dyDescent="0.25">
      <c r="A14" s="5" t="s">
        <v>398</v>
      </c>
      <c r="B14" s="30">
        <v>0</v>
      </c>
    </row>
    <row r="15" spans="1:6" x14ac:dyDescent="0.25">
      <c r="A15" s="12" t="s">
        <v>399</v>
      </c>
      <c r="B15" s="26">
        <f>TotalDebtBalance+GrossIncome*DIMEYears+DIMEMort+DIMEEdu*DIMEKids</f>
        <v>792500</v>
      </c>
    </row>
    <row r="17" spans="1:6" x14ac:dyDescent="0.25">
      <c r="A17" s="57" t="s">
        <v>400</v>
      </c>
      <c r="B17" s="58"/>
      <c r="C17" s="58"/>
      <c r="D17" s="58"/>
      <c r="E17" s="58"/>
      <c r="F17" s="58"/>
    </row>
    <row r="18" spans="1:6" x14ac:dyDescent="0.25">
      <c r="A18" s="5" t="s">
        <v>401</v>
      </c>
      <c r="B18" s="25">
        <v>15000</v>
      </c>
    </row>
    <row r="19" spans="1:6" x14ac:dyDescent="0.25">
      <c r="A19" s="5" t="s">
        <v>349</v>
      </c>
      <c r="B19" s="30">
        <v>18</v>
      </c>
    </row>
    <row r="20" spans="1:6" x14ac:dyDescent="0.25">
      <c r="A20" s="12" t="s">
        <v>402</v>
      </c>
      <c r="B20" s="26">
        <f>IF(SelInfl=0,KidAnnual*KidYears,KidAnnual*((1+SelInfl)^KidYears-1)/SelInfl)</f>
        <v>351216.53061995161</v>
      </c>
    </row>
    <row r="22" spans="1:6" x14ac:dyDescent="0.25">
      <c r="A22" s="57" t="s">
        <v>403</v>
      </c>
      <c r="B22" s="58"/>
      <c r="C22" s="58"/>
      <c r="D22" s="58"/>
      <c r="E22" s="58"/>
      <c r="F22" s="58"/>
    </row>
    <row r="23" spans="1:6" x14ac:dyDescent="0.25">
      <c r="A23" s="5" t="s">
        <v>404</v>
      </c>
      <c r="B23" s="25">
        <v>120000</v>
      </c>
    </row>
    <row r="24" spans="1:6" x14ac:dyDescent="0.25">
      <c r="A24" s="5" t="s">
        <v>405</v>
      </c>
      <c r="B24" s="30">
        <v>18</v>
      </c>
    </row>
    <row r="25" spans="1:6" x14ac:dyDescent="0.25">
      <c r="A25" s="5" t="s">
        <v>385</v>
      </c>
      <c r="B25" s="32">
        <v>0.06</v>
      </c>
    </row>
    <row r="26" spans="1:6" x14ac:dyDescent="0.25">
      <c r="A26" s="12" t="s">
        <v>406</v>
      </c>
      <c r="B26" s="41">
        <f>IF(CollegeYears=0,CollegeTarget,-PMT(CollegeReturn/12,CollegeYears*12,0,CollegeTarget))</f>
        <v>309.79478608317805</v>
      </c>
    </row>
    <row r="28" spans="1:6" x14ac:dyDescent="0.25">
      <c r="A28" s="10" t="s">
        <v>37</v>
      </c>
    </row>
  </sheetData>
  <sheetProtection sheet="1"/>
  <mergeCells count="5">
    <mergeCell ref="A1:F1"/>
    <mergeCell ref="A9:F9"/>
    <mergeCell ref="A22:F22"/>
    <mergeCell ref="A17:F17"/>
    <mergeCell ref="A3:F3"/>
  </mergeCells>
  <dataValidations count="5">
    <dataValidation type="whole" errorStyle="warning" allowBlank="1" showInputMessage="1" showErrorMessage="1" promptTitle="Whole number" prompt="Whole number between 0 and 36." sqref="B4" xr:uid="{00000000-0002-0000-0E00-000000000000}">
      <formula1>0</formula1>
      <formula2>36</formula2>
    </dataValidation>
    <dataValidation type="whole" errorStyle="warning" allowBlank="1" showInputMessage="1" showErrorMessage="1" promptTitle="Whole number" prompt="Whole number between 0 and 60." sqref="B11 B19 B24" xr:uid="{00000000-0002-0000-0E00-000001000000}">
      <formula1>0</formula1>
      <formula2>60</formula2>
    </dataValidation>
    <dataValidation type="whole" errorStyle="warning" allowBlank="1" showInputMessage="1" showErrorMessage="1" promptTitle="Whole number" prompt="Whole number between 0 and 10." sqref="B14" xr:uid="{00000000-0002-0000-0E00-000002000000}">
      <formula1>0</formula1>
      <formula2>10</formula2>
    </dataValidation>
    <dataValidation type="decimal" errorStyle="warning" operator="greaterThanOrEqual" allowBlank="1" showInputMessage="1" showErrorMessage="1" promptTitle="Amount" prompt="Enter a dollar (or unit) amount, 0 or more." sqref="B12 B13 B18 B23" xr:uid="{00000000-0002-0000-0E00-000003000000}">
      <formula1>0</formula1>
    </dataValidation>
    <dataValidation type="decimal" errorStyle="warning" allowBlank="1" showInputMessage="1" showErrorMessage="1" promptTitle="Rate" prompt="Enter as a decimal: 0.05 = 5%." sqref="B25" xr:uid="{00000000-0002-0000-0E00-000004000000}">
      <formula1>0</formula1>
      <formula2>1</formula2>
    </dataValidation>
  </dataValidations>
  <pageMargins left="0.75" right="0.75" top="1" bottom="1" header="0.5" footer="0.5"/>
  <pageSetup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4546A"/>
    <pageSetUpPr fitToPage="1"/>
  </sheetPr>
  <dimension ref="A1:F25"/>
  <sheetViews>
    <sheetView workbookViewId="0">
      <pane ySplit="2" topLeftCell="A3" activePane="bottomLeft" state="frozen"/>
      <selection pane="bottomLeft" sqref="A1:F1"/>
    </sheetView>
  </sheetViews>
  <sheetFormatPr defaultRowHeight="15" x14ac:dyDescent="0.25"/>
  <cols>
    <col min="1" max="1" width="44" customWidth="1"/>
    <col min="2" max="2" width="16" customWidth="1"/>
    <col min="3" max="3" width="20" customWidth="1"/>
  </cols>
  <sheetData>
    <row r="1" spans="1:6" ht="24" customHeight="1" x14ac:dyDescent="0.25">
      <c r="A1" s="59" t="s">
        <v>407</v>
      </c>
      <c r="B1" s="60"/>
      <c r="C1" s="60"/>
      <c r="D1" s="60"/>
      <c r="E1" s="60"/>
      <c r="F1" s="60"/>
    </row>
    <row r="2" spans="1:6" x14ac:dyDescent="0.25">
      <c r="A2" s="10" t="s">
        <v>408</v>
      </c>
      <c r="E2" s="9" t="str">
        <f>HYPERLINK("#Dashboard!A1","&lt; Dashboard")</f>
        <v>&lt; Dashboard</v>
      </c>
    </row>
    <row r="3" spans="1:6" x14ac:dyDescent="0.25">
      <c r="A3" s="57" t="s">
        <v>409</v>
      </c>
      <c r="B3" s="58"/>
      <c r="C3" s="58"/>
      <c r="D3" s="58"/>
      <c r="E3" s="58"/>
      <c r="F3" s="58"/>
    </row>
    <row r="4" spans="1:6" x14ac:dyDescent="0.25">
      <c r="A4" s="5" t="s">
        <v>410</v>
      </c>
      <c r="B4" s="42">
        <f>CPIYoYSeed</f>
        <v>4.1700000000000001E-2</v>
      </c>
    </row>
    <row r="5" spans="1:6" x14ac:dyDescent="0.25">
      <c r="A5" s="5" t="s">
        <v>411</v>
      </c>
      <c r="B5" s="42">
        <f>M2YoYSeed</f>
        <v>5.5800000000000002E-2</v>
      </c>
    </row>
    <row r="6" spans="1:6" x14ac:dyDescent="0.25">
      <c r="A6" s="5" t="s">
        <v>412</v>
      </c>
      <c r="B6" s="53">
        <f>M2LevelSeed</f>
        <v>23052.3</v>
      </c>
    </row>
    <row r="7" spans="1:6" x14ac:dyDescent="0.25">
      <c r="A7" s="5" t="s">
        <v>413</v>
      </c>
      <c r="B7" s="42">
        <f>DGS10Seed</f>
        <v>4.4400000000000002E-2</v>
      </c>
    </row>
    <row r="8" spans="1:6" x14ac:dyDescent="0.25">
      <c r="A8" s="5" t="s">
        <v>414</v>
      </c>
      <c r="B8" s="42">
        <f>Mort30Seed</f>
        <v>6.4299999999999996E-2</v>
      </c>
    </row>
    <row r="9" spans="1:6" x14ac:dyDescent="0.25">
      <c r="A9" s="5" t="s">
        <v>415</v>
      </c>
      <c r="B9" s="34">
        <f>BTCPriceSeed</f>
        <v>60065.599999999999</v>
      </c>
    </row>
    <row r="11" spans="1:6" x14ac:dyDescent="0.25">
      <c r="A11" s="5" t="s">
        <v>416</v>
      </c>
      <c r="B11" s="31">
        <v>4.4999999999999998E-2</v>
      </c>
    </row>
    <row r="13" spans="1:6" x14ac:dyDescent="0.25">
      <c r="A13" s="57" t="s">
        <v>417</v>
      </c>
      <c r="B13" s="58"/>
      <c r="C13" s="58"/>
      <c r="D13" s="58"/>
      <c r="E13" s="58"/>
      <c r="F13" s="58"/>
    </row>
    <row r="14" spans="1:6" x14ac:dyDescent="0.25">
      <c r="A14" s="2" t="s">
        <v>349</v>
      </c>
      <c r="B14" s="2" t="s">
        <v>418</v>
      </c>
      <c r="C14" s="2" t="s">
        <v>419</v>
      </c>
    </row>
    <row r="15" spans="1:6" x14ac:dyDescent="0.25">
      <c r="A15" s="39">
        <v>5</v>
      </c>
      <c r="B15" s="40">
        <f t="shared" ref="B15:B20" si="0">100/(1+CPIYoYSeed)^$A15</f>
        <v>81.524225049157337</v>
      </c>
      <c r="C15" s="40">
        <f t="shared" ref="C15:C20" si="1">100/(1+PersonalInfl)^$A15</f>
        <v>80.245104650068413</v>
      </c>
    </row>
    <row r="16" spans="1:6" x14ac:dyDescent="0.25">
      <c r="A16" s="39">
        <v>10</v>
      </c>
      <c r="B16" s="40">
        <f t="shared" si="0"/>
        <v>66.461992698656545</v>
      </c>
      <c r="C16" s="40">
        <f t="shared" si="1"/>
        <v>64.392768203004323</v>
      </c>
    </row>
    <row r="17" spans="1:3" x14ac:dyDescent="0.25">
      <c r="A17" s="39">
        <v>15</v>
      </c>
      <c r="B17" s="40">
        <f t="shared" si="0"/>
        <v>54.182624499807282</v>
      </c>
      <c r="C17" s="40">
        <f t="shared" si="1"/>
        <v>51.672044231576791</v>
      </c>
    </row>
    <row r="18" spans="1:3" x14ac:dyDescent="0.25">
      <c r="A18" s="39">
        <v>20</v>
      </c>
      <c r="B18" s="40">
        <f t="shared" si="0"/>
        <v>44.171964734762753</v>
      </c>
      <c r="C18" s="40">
        <f t="shared" si="1"/>
        <v>41.464285968458455</v>
      </c>
    </row>
    <row r="19" spans="1:3" x14ac:dyDescent="0.25">
      <c r="A19" s="39">
        <v>30</v>
      </c>
      <c r="B19" s="40">
        <f t="shared" si="0"/>
        <v>29.357567976871167</v>
      </c>
      <c r="C19" s="40">
        <f t="shared" si="1"/>
        <v>26.7000015507003</v>
      </c>
    </row>
    <row r="20" spans="1:3" x14ac:dyDescent="0.25">
      <c r="A20" s="39">
        <v>40</v>
      </c>
      <c r="B20" s="40">
        <f t="shared" si="0"/>
        <v>19.511624685291245</v>
      </c>
      <c r="C20" s="40">
        <f t="shared" si="1"/>
        <v>17.192870108741008</v>
      </c>
    </row>
    <row r="21" spans="1:3" x14ac:dyDescent="0.25">
      <c r="A21" s="5" t="s">
        <v>420</v>
      </c>
      <c r="B21" s="30">
        <v>20</v>
      </c>
    </row>
    <row r="22" spans="1:3" x14ac:dyDescent="0.25">
      <c r="A22" s="5" t="s">
        <v>421</v>
      </c>
      <c r="B22" s="28">
        <f>GrossIncome*(1+CPIYoYSeed)^SalaryHorizonYears</f>
        <v>176582.59139787601</v>
      </c>
    </row>
    <row r="23" spans="1:3" x14ac:dyDescent="0.25">
      <c r="A23" s="5" t="s">
        <v>422</v>
      </c>
      <c r="B23" s="35">
        <f>M2YoYSeed-CPIYoYSeed</f>
        <v>1.4100000000000001E-2</v>
      </c>
    </row>
    <row r="25" spans="1:3" x14ac:dyDescent="0.25">
      <c r="A25" s="10" t="s">
        <v>37</v>
      </c>
    </row>
  </sheetData>
  <sheetProtection sheet="1" objects="1" scenarios="1"/>
  <mergeCells count="3">
    <mergeCell ref="A3:F3"/>
    <mergeCell ref="A13:F13"/>
    <mergeCell ref="A1:F1"/>
  </mergeCells>
  <dataValidations count="2">
    <dataValidation type="decimal" errorStyle="warning" allowBlank="1" showInputMessage="1" showErrorMessage="1" promptTitle="Rate" prompt="Enter as a decimal: 0.05 = 5%." sqref="B11" xr:uid="{00000000-0002-0000-0F00-000000000000}">
      <formula1>0</formula1>
      <formula2>1</formula2>
    </dataValidation>
    <dataValidation type="whole" errorStyle="warning" allowBlank="1" showInputMessage="1" showErrorMessage="1" promptTitle="Whole number" prompt="Whole number between 1 and 60." sqref="B21" xr:uid="{00000000-0002-0000-0F00-000001000000}">
      <formula1>1</formula1>
      <formula2>60</formula2>
    </dataValidation>
  </dataValidations>
  <pageMargins left="0.75" right="0.75" top="1" bottom="1" header="0.5" footer="0.5"/>
  <pageSetup fitToHeight="0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4546A"/>
    <pageSetUpPr fitToPage="1"/>
  </sheetPr>
  <dimension ref="A1:J12"/>
  <sheetViews>
    <sheetView workbookViewId="0">
      <pane ySplit="2" topLeftCell="A3" activePane="bottomLeft" state="frozen"/>
      <selection pane="bottomLeft" sqref="A1:J1"/>
    </sheetView>
  </sheetViews>
  <sheetFormatPr defaultRowHeight="15" x14ac:dyDescent="0.25"/>
  <cols>
    <col min="1" max="1" width="14" customWidth="1"/>
    <col min="2" max="2" width="20" customWidth="1"/>
    <col min="3" max="3" width="14" customWidth="1"/>
    <col min="4" max="4" width="22" customWidth="1"/>
    <col min="5" max="5" width="20" customWidth="1"/>
    <col min="6" max="6" width="18" customWidth="1"/>
    <col min="7" max="7" width="14" customWidth="1"/>
    <col min="8" max="8" width="12" customWidth="1"/>
    <col min="9" max="9" width="14" customWidth="1"/>
  </cols>
  <sheetData>
    <row r="1" spans="1:10" ht="24" customHeight="1" x14ac:dyDescent="0.25">
      <c r="A1" s="59" t="s">
        <v>423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5">
      <c r="A2" s="10" t="s">
        <v>424</v>
      </c>
      <c r="J2" s="9" t="str">
        <f>HYPERLINK("#Dashboard!A1","&lt; Dashboard")</f>
        <v>&lt; Dashboard</v>
      </c>
    </row>
    <row r="4" spans="1:10" x14ac:dyDescent="0.25">
      <c r="A4" s="2" t="s">
        <v>42</v>
      </c>
      <c r="B4" s="2" t="s">
        <v>143</v>
      </c>
      <c r="C4" s="2" t="s">
        <v>425</v>
      </c>
      <c r="D4" s="2" t="s">
        <v>426</v>
      </c>
      <c r="E4" s="2" t="s">
        <v>427</v>
      </c>
      <c r="F4" s="2" t="s">
        <v>428</v>
      </c>
      <c r="G4" s="2" t="s">
        <v>429</v>
      </c>
      <c r="H4" s="2" t="s">
        <v>430</v>
      </c>
      <c r="I4" s="2" t="s">
        <v>431</v>
      </c>
    </row>
    <row r="5" spans="1:10" x14ac:dyDescent="0.25">
      <c r="A5" s="5" t="s">
        <v>144</v>
      </c>
      <c r="B5" s="42">
        <f>BlendC</f>
        <v>4.5333333333333337E-2</v>
      </c>
      <c r="C5" s="7" t="str">
        <f>TEXT(BTCiC,"0%")&amp;" -&gt; "&amp;TEXT(BTCfC,"0%")</f>
        <v>10% -&gt; 2%</v>
      </c>
      <c r="D5" s="28">
        <f>Projections!$J$64</f>
        <v>407644.03587991017</v>
      </c>
      <c r="E5" s="28">
        <f>INDEX(Projections!$V$4:$V$64,TargetRowIdx)</f>
        <v>872900.70661265764</v>
      </c>
      <c r="F5" s="28">
        <f>INDEX(Projections!$Y$4:$Y$64,TargetRowIdx)</f>
        <v>862069.11018538277</v>
      </c>
      <c r="G5" s="28">
        <f>E5-F5</f>
        <v>10831.596427274868</v>
      </c>
      <c r="H5" s="7">
        <f>IFERROR(INDEX(ProjAges,MATCH(1,Projections!$AF$4:$AF$64,0)),"Not by 60y")</f>
        <v>51</v>
      </c>
      <c r="I5" s="7">
        <f>IFERROR(INDEX(ProjAges,MATCH(1,Projections!$AI$4:$AI$64,0)),"Not by 60y")</f>
        <v>51</v>
      </c>
    </row>
    <row r="6" spans="1:10" x14ac:dyDescent="0.25">
      <c r="A6" s="5" t="s">
        <v>43</v>
      </c>
      <c r="B6" s="42">
        <f>BlendB</f>
        <v>6.3333333333333339E-2</v>
      </c>
      <c r="C6" s="7" t="str">
        <f>TEXT(BTCiB,"0%")&amp;" -&gt; "&amp;TEXT(BTCfB,"0%")</f>
        <v>25% -&gt; 5%</v>
      </c>
      <c r="D6" s="28">
        <f>Projections!$K$64</f>
        <v>6183976.9620186575</v>
      </c>
      <c r="E6" s="28">
        <f>INDEX(Projections!$W$4:$W$64,TargetRowIdx)</f>
        <v>1433925.1495890557</v>
      </c>
      <c r="F6" s="28">
        <f>INDEX(Projections!$Z$4:$Z$64,TargetRowIdx)</f>
        <v>1079816.1057237864</v>
      </c>
      <c r="G6" s="28">
        <f>E6-F6</f>
        <v>354109.04386526928</v>
      </c>
      <c r="H6" s="7">
        <f>IFERROR(INDEX(ProjAges,MATCH(1,Projections!$AG$4:$AG$64,0)),"Not by 60y")</f>
        <v>45</v>
      </c>
      <c r="I6" s="7">
        <f>IFERROR(INDEX(ProjAges,MATCH(1,Projections!$AJ$4:$AJ$64,0)),"Not by 60y")</f>
        <v>48</v>
      </c>
    </row>
    <row r="7" spans="1:10" x14ac:dyDescent="0.25">
      <c r="A7" s="5" t="s">
        <v>145</v>
      </c>
      <c r="B7" s="42">
        <f>BlendA</f>
        <v>8.9333333333333334E-2</v>
      </c>
      <c r="C7" s="7" t="str">
        <f>TEXT(BTCiA,"0%")&amp;" -&gt; "&amp;TEXT(BTCfA,"0%")</f>
        <v>40% -&gt; 8%</v>
      </c>
      <c r="D7" s="28">
        <f>Projections!$L$64</f>
        <v>80040784.628809616</v>
      </c>
      <c r="E7" s="28">
        <f>INDEX(Projections!$X$4:$X$64,TargetRowIdx)</f>
        <v>3071490.5009118449</v>
      </c>
      <c r="F7" s="28">
        <f>INDEX(Projections!$AA$4:$AA$64,TargetRowIdx)</f>
        <v>1512134.8559888755</v>
      </c>
      <c r="G7" s="28">
        <f>E7-F7</f>
        <v>1559355.6449229694</v>
      </c>
      <c r="H7" s="7">
        <f>IFERROR(INDEX(ProjAges,MATCH(1,Projections!$AH$4:$AH$64,0)),"Not by 60y")</f>
        <v>41</v>
      </c>
      <c r="I7" s="7">
        <f>IFERROR(INDEX(ProjAges,MATCH(1,Projections!$AK$4:$AK$64,0)),"Not by 60y")</f>
        <v>46</v>
      </c>
    </row>
    <row r="9" spans="1:10" x14ac:dyDescent="0.25">
      <c r="A9" s="10" t="s">
        <v>432</v>
      </c>
    </row>
    <row r="10" spans="1:10" x14ac:dyDescent="0.25">
      <c r="A10" s="10" t="s">
        <v>433</v>
      </c>
    </row>
    <row r="12" spans="1:10" x14ac:dyDescent="0.25">
      <c r="A12" s="10" t="s">
        <v>37</v>
      </c>
    </row>
  </sheetData>
  <sheetProtection sheet="1" objects="1" scenarios="1"/>
  <mergeCells count="1">
    <mergeCell ref="A1:J1"/>
  </mergeCells>
  <pageMargins left="0.75" right="0.75" top="1" bottom="1" header="0.5" footer="0.5"/>
  <pageSetup fitToHeight="0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808080"/>
    <pageSetUpPr fitToPage="1"/>
  </sheetPr>
  <dimension ref="A1:AK66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" customWidth="1"/>
    <col min="2" max="2" width="7" customWidth="1"/>
    <col min="3" max="3" width="6" customWidth="1"/>
    <col min="4" max="29" width="12" customWidth="1"/>
    <col min="30" max="31" width="8" hidden="1" customWidth="1"/>
    <col min="32" max="37" width="6" hidden="1" customWidth="1"/>
  </cols>
  <sheetData>
    <row r="1" spans="1:37" ht="24" customHeight="1" x14ac:dyDescent="0.25">
      <c r="A1" s="59" t="s">
        <v>434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37" x14ac:dyDescent="0.25">
      <c r="A2" s="5" t="s">
        <v>435</v>
      </c>
      <c r="B2" s="7">
        <f>IFERROR(MATCH(TargetAge,$C$4:$C$64,0),61)</f>
        <v>21</v>
      </c>
      <c r="C2" s="5" t="s">
        <v>436</v>
      </c>
      <c r="D2" s="28">
        <f>INDEX($AB$4:$AB$64,TargetRowIdx)</f>
        <v>1433925.1495890557</v>
      </c>
      <c r="E2" s="5" t="s">
        <v>437</v>
      </c>
      <c r="F2" s="28">
        <f>INDEX($AC$4:$AC$64,TargetRowIdx)</f>
        <v>1079816.1057237864</v>
      </c>
      <c r="H2" s="10" t="s">
        <v>438</v>
      </c>
      <c r="N2" s="9" t="str">
        <f>HYPERLINK("#Dashboard!A1","&lt; Dashboard")</f>
        <v>&lt; Dashboard</v>
      </c>
    </row>
    <row r="3" spans="1:37" x14ac:dyDescent="0.25">
      <c r="A3" s="2" t="s">
        <v>439</v>
      </c>
      <c r="B3" s="2" t="s">
        <v>319</v>
      </c>
      <c r="C3" s="2" t="s">
        <v>440</v>
      </c>
      <c r="D3" s="2" t="s">
        <v>441</v>
      </c>
      <c r="E3" s="2" t="s">
        <v>442</v>
      </c>
      <c r="F3" s="2" t="s">
        <v>443</v>
      </c>
      <c r="G3" s="2" t="s">
        <v>444</v>
      </c>
      <c r="H3" s="2" t="s">
        <v>445</v>
      </c>
      <c r="I3" s="2" t="s">
        <v>446</v>
      </c>
      <c r="J3" s="2" t="s">
        <v>447</v>
      </c>
      <c r="K3" s="2" t="s">
        <v>448</v>
      </c>
      <c r="L3" s="2" t="s">
        <v>449</v>
      </c>
      <c r="M3" s="2" t="s">
        <v>450</v>
      </c>
      <c r="N3" s="2" t="s">
        <v>451</v>
      </c>
      <c r="O3" s="2" t="s">
        <v>452</v>
      </c>
      <c r="P3" s="2" t="s">
        <v>453</v>
      </c>
      <c r="Q3" s="2" t="s">
        <v>454</v>
      </c>
      <c r="R3" s="2" t="s">
        <v>455</v>
      </c>
      <c r="S3" s="2" t="s">
        <v>456</v>
      </c>
      <c r="T3" s="2" t="s">
        <v>457</v>
      </c>
      <c r="U3" s="2" t="s">
        <v>458</v>
      </c>
      <c r="V3" s="2" t="s">
        <v>459</v>
      </c>
      <c r="W3" s="2" t="s">
        <v>460</v>
      </c>
      <c r="X3" s="2" t="s">
        <v>461</v>
      </c>
      <c r="Y3" s="2" t="s">
        <v>462</v>
      </c>
      <c r="Z3" s="2" t="s">
        <v>463</v>
      </c>
      <c r="AA3" s="2" t="s">
        <v>464</v>
      </c>
      <c r="AB3" s="2" t="s">
        <v>465</v>
      </c>
      <c r="AC3" s="2" t="s">
        <v>466</v>
      </c>
      <c r="AD3" s="2" t="s">
        <v>467</v>
      </c>
      <c r="AE3" s="2" t="s">
        <v>468</v>
      </c>
      <c r="AF3" s="2" t="s">
        <v>469</v>
      </c>
      <c r="AG3" s="2" t="s">
        <v>470</v>
      </c>
      <c r="AH3" s="2" t="s">
        <v>471</v>
      </c>
      <c r="AI3" s="2" t="s">
        <v>472</v>
      </c>
      <c r="AJ3" s="2" t="s">
        <v>473</v>
      </c>
      <c r="AK3" s="2" t="s">
        <v>474</v>
      </c>
    </row>
    <row r="4" spans="1:37" x14ac:dyDescent="0.25">
      <c r="A4" s="39">
        <v>0</v>
      </c>
      <c r="B4" s="39">
        <f t="shared" ref="B4:B35" si="0">BaseYear+$A4</f>
        <v>2026</v>
      </c>
      <c r="C4" s="39">
        <f t="shared" ref="C4:C35" si="1">CurrentAge+$A4</f>
        <v>30</v>
      </c>
      <c r="D4" s="28">
        <f>StartPortfolio</f>
        <v>60000</v>
      </c>
      <c r="E4" s="28">
        <f>StartPortfolio</f>
        <v>60000</v>
      </c>
      <c r="F4" s="28">
        <f>StartPortfolio</f>
        <v>60000</v>
      </c>
      <c r="G4" s="35">
        <f t="shared" ref="G4:G35" si="2">IF(BTCGlideYears=0,BTCfC,BTCiC+(BTCfC-BTCiC)*MIN($A4,BTCGlideYears)/BTCGlideYears)</f>
        <v>0.1</v>
      </c>
      <c r="H4" s="35">
        <f t="shared" ref="H4:H35" si="3">IF(BTCGlideYears=0,BTCfB,BTCiB+(BTCfB-BTCiB)*MIN($A4,BTCGlideYears)/BTCGlideYears)</f>
        <v>0.25</v>
      </c>
      <c r="I4" s="35">
        <f t="shared" ref="I4:I35" si="4">IF(BTCGlideYears=0,BTCfA,BTCiA+(BTCfA-BTCiA)*MIN($A4,BTCGlideYears)/BTCGlideYears)</f>
        <v>0.4</v>
      </c>
      <c r="J4" s="28">
        <f>BTCPriceSeed</f>
        <v>60065.599999999999</v>
      </c>
      <c r="K4" s="28">
        <f>BTCPriceSeed</f>
        <v>60065.599999999999</v>
      </c>
      <c r="L4" s="28">
        <f>BTCPriceSeed</f>
        <v>60065.599999999999</v>
      </c>
      <c r="M4" s="28">
        <f t="shared" ref="M4:M35" si="5">CHOOSE(StressIndex,J4,BTCPriceSeed,J4*ShockFactor,0)</f>
        <v>60065.599999999999</v>
      </c>
      <c r="N4" s="28">
        <f t="shared" ref="N4:N35" si="6">CHOOSE(StressIndex,K4,BTCPriceSeed,K4*ShockFactor,0)</f>
        <v>60065.599999999999</v>
      </c>
      <c r="O4" s="28">
        <f t="shared" ref="O4:O35" si="7">CHOOSE(StressIndex,L4,BTCPriceSeed,L4*ShockFactor,0)</f>
        <v>60065.599999999999</v>
      </c>
      <c r="P4" s="54">
        <f>IF(StressIndex=4,0,BTCStack)</f>
        <v>0.25</v>
      </c>
      <c r="Q4" s="54">
        <f>IF(StressIndex=4,0,BTCStack)</f>
        <v>0.25</v>
      </c>
      <c r="R4" s="54">
        <f>IF(StressIndex=4,0,BTCStack)</f>
        <v>0.25</v>
      </c>
      <c r="S4" s="28">
        <f t="shared" ref="S4:S35" si="8">P4*M4</f>
        <v>15016.4</v>
      </c>
      <c r="T4" s="28">
        <f t="shared" ref="T4:T35" si="9">Q4*N4</f>
        <v>15016.4</v>
      </c>
      <c r="U4" s="28">
        <f t="shared" ref="U4:U35" si="10">R4*O4</f>
        <v>15016.4</v>
      </c>
      <c r="V4" s="28">
        <f t="shared" ref="V4:V35" si="11">D4+S4</f>
        <v>75016.399999999994</v>
      </c>
      <c r="W4" s="28">
        <f t="shared" ref="W4:W35" si="12">E4+T4</f>
        <v>75016.399999999994</v>
      </c>
      <c r="X4" s="28">
        <f t="shared" ref="X4:X35" si="13">F4+U4</f>
        <v>75016.399999999994</v>
      </c>
      <c r="Y4" s="28">
        <f>StartPortfolio+BTCStack*BTCPriceSeed</f>
        <v>75016.399999999994</v>
      </c>
      <c r="Z4" s="28">
        <f>StartPortfolio+BTCStack*BTCPriceSeed</f>
        <v>75016.399999999994</v>
      </c>
      <c r="AA4" s="28">
        <f>StartPortfolio+BTCStack*BTCPriceSeed</f>
        <v>75016.399999999994</v>
      </c>
      <c r="AB4" s="28">
        <f t="shared" ref="AB4:AB35" si="14">INDEX($V4:$X4,1,ScenIndex)</f>
        <v>75016.399999999994</v>
      </c>
      <c r="AC4" s="28">
        <f t="shared" ref="AC4:AC35" si="15">INDEX($Y4:$AA4,1,ScenIndex)</f>
        <v>75016.399999999994</v>
      </c>
      <c r="AD4" s="39">
        <f t="shared" ref="AD4:AD35" si="16">IF($AB4&gt;=FINumber,1,0)</f>
        <v>0</v>
      </c>
      <c r="AE4" s="39">
        <f t="shared" ref="AE4:AE35" si="17">IF($AC4&gt;=FINumber,1,0)</f>
        <v>0</v>
      </c>
      <c r="AF4" s="39">
        <f t="shared" ref="AF4:AF35" si="18">IF(V4&gt;=FINumber,1,0)</f>
        <v>0</v>
      </c>
      <c r="AG4" s="39">
        <f t="shared" ref="AG4:AG35" si="19">IF(W4&gt;=FINumber,1,0)</f>
        <v>0</v>
      </c>
      <c r="AH4" s="39">
        <f t="shared" ref="AH4:AH35" si="20">IF(X4&gt;=FINumber,1,0)</f>
        <v>0</v>
      </c>
      <c r="AI4" s="39">
        <f t="shared" ref="AI4:AI35" si="21">IF(Y4&gt;=FINumber,1,0)</f>
        <v>0</v>
      </c>
      <c r="AJ4" s="39">
        <f t="shared" ref="AJ4:AJ35" si="22">IF(Z4&gt;=FINumber,1,0)</f>
        <v>0</v>
      </c>
      <c r="AK4" s="39">
        <f t="shared" ref="AK4:AK35" si="23">IF(AA4&gt;=FINumber,1,0)</f>
        <v>0</v>
      </c>
    </row>
    <row r="5" spans="1:37" x14ac:dyDescent="0.25">
      <c r="A5" s="39">
        <f t="shared" ref="A5:A36" si="24">A4+1</f>
        <v>1</v>
      </c>
      <c r="B5" s="39">
        <f t="shared" si="0"/>
        <v>2027</v>
      </c>
      <c r="C5" s="39">
        <f t="shared" si="1"/>
        <v>31</v>
      </c>
      <c r="D5" s="28">
        <f t="shared" ref="D5:D36" si="25">D4*(1+BlendC)+AnnualPortfolioContrib</f>
        <v>78920</v>
      </c>
      <c r="E5" s="28">
        <f t="shared" ref="E5:E36" si="26">E4*(1+BlendB)+AnnualPortfolioContrib</f>
        <v>80000</v>
      </c>
      <c r="F5" s="28">
        <f t="shared" ref="F5:F36" si="27">F4*(1+BlendA)+AnnualPortfolioContrib</f>
        <v>81560</v>
      </c>
      <c r="G5" s="35">
        <f t="shared" si="2"/>
        <v>9.6000000000000002E-2</v>
      </c>
      <c r="H5" s="35">
        <f t="shared" si="3"/>
        <v>0.24</v>
      </c>
      <c r="I5" s="35">
        <f t="shared" si="4"/>
        <v>0.38400000000000001</v>
      </c>
      <c r="J5" s="28">
        <f t="shared" ref="J5:J36" si="28">J4*(1+G5)</f>
        <v>65831.897599999997</v>
      </c>
      <c r="K5" s="28">
        <f t="shared" ref="K5:K36" si="29">K4*(1+H5)</f>
        <v>74481.343999999997</v>
      </c>
      <c r="L5" s="28">
        <f t="shared" ref="L5:L36" si="30">L4*(1+I5)</f>
        <v>83130.790399999998</v>
      </c>
      <c r="M5" s="28">
        <f t="shared" si="5"/>
        <v>65831.897599999997</v>
      </c>
      <c r="N5" s="28">
        <f t="shared" si="6"/>
        <v>74481.343999999997</v>
      </c>
      <c r="O5" s="28">
        <f t="shared" si="7"/>
        <v>83130.790399999998</v>
      </c>
      <c r="P5" s="54">
        <f t="shared" ref="P5:P36" si="31">IF(StressIndex=4,0,IF(M5&lt;=0,P4,P4+AnnualBTCDCA/M5))</f>
        <v>0.33202710535264901</v>
      </c>
      <c r="Q5" s="54">
        <f t="shared" ref="Q5:Q36" si="32">IF(StressIndex=4,0,IF(N5&lt;=0,Q4,Q4+AnnualBTCDCA/N5))</f>
        <v>0.32250137698911557</v>
      </c>
      <c r="R5" s="54">
        <f t="shared" ref="R5:R36" si="33">IF(StressIndex=4,0,IF(O5&lt;=0,R4,R4+AnnualBTCDCA/O5))</f>
        <v>0.31495788111741568</v>
      </c>
      <c r="S5" s="28">
        <f t="shared" si="8"/>
        <v>21857.974399999999</v>
      </c>
      <c r="T5" s="28">
        <f t="shared" si="9"/>
        <v>24020.335999999999</v>
      </c>
      <c r="U5" s="28">
        <f t="shared" si="10"/>
        <v>26182.6976</v>
      </c>
      <c r="V5" s="28">
        <f t="shared" si="11"/>
        <v>100777.97440000001</v>
      </c>
      <c r="W5" s="28">
        <f t="shared" si="12"/>
        <v>104020.336</v>
      </c>
      <c r="X5" s="28">
        <f t="shared" si="13"/>
        <v>107742.6976</v>
      </c>
      <c r="Y5" s="28">
        <f t="shared" ref="Y5:Y36" si="34">Y4*(1+BlendC)+AnnualPortfolioContrib+AnnualBTCDCA</f>
        <v>100017.14346666665</v>
      </c>
      <c r="Z5" s="28">
        <f t="shared" ref="Z5:Z36" si="35">Z4*(1+BlendB)+AnnualPortfolioContrib+AnnualBTCDCA</f>
        <v>101367.43866666665</v>
      </c>
      <c r="AA5" s="28">
        <f t="shared" ref="AA5:AA36" si="36">AA4*(1+BlendA)+AnnualPortfolioContrib+AnnualBTCDCA</f>
        <v>103317.86506666665</v>
      </c>
      <c r="AB5" s="28">
        <f t="shared" si="14"/>
        <v>104020.336</v>
      </c>
      <c r="AC5" s="28">
        <f t="shared" si="15"/>
        <v>101367.43866666665</v>
      </c>
      <c r="AD5" s="39">
        <f t="shared" si="16"/>
        <v>0</v>
      </c>
      <c r="AE5" s="39">
        <f t="shared" si="17"/>
        <v>0</v>
      </c>
      <c r="AF5" s="39">
        <f t="shared" si="18"/>
        <v>0</v>
      </c>
      <c r="AG5" s="39">
        <f t="shared" si="19"/>
        <v>0</v>
      </c>
      <c r="AH5" s="39">
        <f t="shared" si="20"/>
        <v>0</v>
      </c>
      <c r="AI5" s="39">
        <f t="shared" si="21"/>
        <v>0</v>
      </c>
      <c r="AJ5" s="39">
        <f t="shared" si="22"/>
        <v>0</v>
      </c>
      <c r="AK5" s="39">
        <f t="shared" si="23"/>
        <v>0</v>
      </c>
    </row>
    <row r="6" spans="1:37" x14ac:dyDescent="0.25">
      <c r="A6" s="39">
        <f t="shared" si="24"/>
        <v>2</v>
      </c>
      <c r="B6" s="39">
        <f t="shared" si="0"/>
        <v>2028</v>
      </c>
      <c r="C6" s="39">
        <f t="shared" si="1"/>
        <v>32</v>
      </c>
      <c r="D6" s="28">
        <f t="shared" si="25"/>
        <v>98697.706666666665</v>
      </c>
      <c r="E6" s="28">
        <f t="shared" si="26"/>
        <v>101266.66666666666</v>
      </c>
      <c r="F6" s="28">
        <f t="shared" si="27"/>
        <v>105046.02666666666</v>
      </c>
      <c r="G6" s="35">
        <f t="shared" si="2"/>
        <v>9.1999999999999998E-2</v>
      </c>
      <c r="H6" s="35">
        <f t="shared" si="3"/>
        <v>0.23</v>
      </c>
      <c r="I6" s="35">
        <f t="shared" si="4"/>
        <v>0.36799999999999999</v>
      </c>
      <c r="J6" s="28">
        <f t="shared" si="28"/>
        <v>71888.432179199997</v>
      </c>
      <c r="K6" s="28">
        <f t="shared" si="29"/>
        <v>91612.053119999997</v>
      </c>
      <c r="L6" s="28">
        <f t="shared" si="30"/>
        <v>113722.92126719998</v>
      </c>
      <c r="M6" s="28">
        <f t="shared" si="5"/>
        <v>71888.432179199997</v>
      </c>
      <c r="N6" s="28">
        <f t="shared" si="6"/>
        <v>91612.053119999997</v>
      </c>
      <c r="O6" s="28">
        <f t="shared" si="7"/>
        <v>113722.92126719998</v>
      </c>
      <c r="P6" s="54">
        <f t="shared" si="31"/>
        <v>0.40714350219573414</v>
      </c>
      <c r="Q6" s="54">
        <f t="shared" si="32"/>
        <v>0.38144558592335587</v>
      </c>
      <c r="R6" s="54">
        <f t="shared" si="33"/>
        <v>0.36244171234359673</v>
      </c>
      <c r="S6" s="28">
        <f t="shared" si="8"/>
        <v>29268.908044799999</v>
      </c>
      <c r="T6" s="28">
        <f t="shared" si="9"/>
        <v>34945.013279999999</v>
      </c>
      <c r="U6" s="28">
        <f t="shared" si="10"/>
        <v>41217.930316799997</v>
      </c>
      <c r="V6" s="28">
        <f t="shared" si="11"/>
        <v>127966.61471146667</v>
      </c>
      <c r="W6" s="28">
        <f t="shared" si="12"/>
        <v>136211.67994666664</v>
      </c>
      <c r="X6" s="28">
        <f t="shared" si="13"/>
        <v>146263.95698346666</v>
      </c>
      <c r="Y6" s="28">
        <f t="shared" si="34"/>
        <v>126151.25397048886</v>
      </c>
      <c r="Z6" s="28">
        <f t="shared" si="35"/>
        <v>129387.37644888887</v>
      </c>
      <c r="AA6" s="28">
        <f t="shared" si="36"/>
        <v>134147.59434595553</v>
      </c>
      <c r="AB6" s="28">
        <f t="shared" si="14"/>
        <v>136211.67994666664</v>
      </c>
      <c r="AC6" s="28">
        <f t="shared" si="15"/>
        <v>129387.37644888887</v>
      </c>
      <c r="AD6" s="39">
        <f t="shared" si="16"/>
        <v>0</v>
      </c>
      <c r="AE6" s="39">
        <f t="shared" si="17"/>
        <v>0</v>
      </c>
      <c r="AF6" s="39">
        <f t="shared" si="18"/>
        <v>0</v>
      </c>
      <c r="AG6" s="39">
        <f t="shared" si="19"/>
        <v>0</v>
      </c>
      <c r="AH6" s="39">
        <f t="shared" si="20"/>
        <v>0</v>
      </c>
      <c r="AI6" s="39">
        <f t="shared" si="21"/>
        <v>0</v>
      </c>
      <c r="AJ6" s="39">
        <f t="shared" si="22"/>
        <v>0</v>
      </c>
      <c r="AK6" s="39">
        <f t="shared" si="23"/>
        <v>0</v>
      </c>
    </row>
    <row r="7" spans="1:37" x14ac:dyDescent="0.25">
      <c r="A7" s="39">
        <f t="shared" si="24"/>
        <v>3</v>
      </c>
      <c r="B7" s="39">
        <f t="shared" si="0"/>
        <v>2029</v>
      </c>
      <c r="C7" s="39">
        <f t="shared" si="1"/>
        <v>33</v>
      </c>
      <c r="D7" s="28">
        <f t="shared" si="25"/>
        <v>119372.00270222221</v>
      </c>
      <c r="E7" s="28">
        <f t="shared" si="26"/>
        <v>123880.2222222222</v>
      </c>
      <c r="F7" s="28">
        <f t="shared" si="27"/>
        <v>130630.1383822222</v>
      </c>
      <c r="G7" s="35">
        <f t="shared" si="2"/>
        <v>8.8000000000000009E-2</v>
      </c>
      <c r="H7" s="35">
        <f t="shared" si="3"/>
        <v>0.22</v>
      </c>
      <c r="I7" s="35">
        <f t="shared" si="4"/>
        <v>0.35200000000000004</v>
      </c>
      <c r="J7" s="28">
        <f t="shared" si="28"/>
        <v>78214.614210969608</v>
      </c>
      <c r="K7" s="28">
        <f t="shared" si="29"/>
        <v>111766.7048064</v>
      </c>
      <c r="L7" s="28">
        <f t="shared" si="30"/>
        <v>153753.38955325438</v>
      </c>
      <c r="M7" s="28">
        <f t="shared" si="5"/>
        <v>78214.614210969608</v>
      </c>
      <c r="N7" s="28">
        <f t="shared" si="6"/>
        <v>111766.7048064</v>
      </c>
      <c r="O7" s="28">
        <f t="shared" si="7"/>
        <v>153753.38955325438</v>
      </c>
      <c r="P7" s="54">
        <f t="shared" si="31"/>
        <v>0.47618430811768742</v>
      </c>
      <c r="Q7" s="54">
        <f t="shared" si="32"/>
        <v>0.42976051127929055</v>
      </c>
      <c r="R7" s="54">
        <f t="shared" si="33"/>
        <v>0.39756288928603833</v>
      </c>
      <c r="S7" s="28">
        <f t="shared" si="8"/>
        <v>37244.571952742408</v>
      </c>
      <c r="T7" s="28">
        <f t="shared" si="9"/>
        <v>48032.916201600005</v>
      </c>
      <c r="U7" s="28">
        <f t="shared" si="10"/>
        <v>61126.641788313595</v>
      </c>
      <c r="V7" s="28">
        <f t="shared" si="11"/>
        <v>156616.57465496461</v>
      </c>
      <c r="W7" s="28">
        <f t="shared" si="12"/>
        <v>171913.13842382221</v>
      </c>
      <c r="X7" s="28">
        <f t="shared" si="13"/>
        <v>191756.78017053579</v>
      </c>
      <c r="Y7" s="28">
        <f t="shared" si="34"/>
        <v>153470.110817151</v>
      </c>
      <c r="Z7" s="28">
        <f t="shared" si="35"/>
        <v>159181.91029065181</v>
      </c>
      <c r="AA7" s="28">
        <f t="shared" si="36"/>
        <v>167731.44610752753</v>
      </c>
      <c r="AB7" s="28">
        <f t="shared" si="14"/>
        <v>171913.13842382221</v>
      </c>
      <c r="AC7" s="28">
        <f t="shared" si="15"/>
        <v>159181.91029065181</v>
      </c>
      <c r="AD7" s="39">
        <f t="shared" si="16"/>
        <v>0</v>
      </c>
      <c r="AE7" s="39">
        <f t="shared" si="17"/>
        <v>0</v>
      </c>
      <c r="AF7" s="39">
        <f t="shared" si="18"/>
        <v>0</v>
      </c>
      <c r="AG7" s="39">
        <f t="shared" si="19"/>
        <v>0</v>
      </c>
      <c r="AH7" s="39">
        <f t="shared" si="20"/>
        <v>0</v>
      </c>
      <c r="AI7" s="39">
        <f t="shared" si="21"/>
        <v>0</v>
      </c>
      <c r="AJ7" s="39">
        <f t="shared" si="22"/>
        <v>0</v>
      </c>
      <c r="AK7" s="39">
        <f t="shared" si="23"/>
        <v>0</v>
      </c>
    </row>
    <row r="8" spans="1:37" x14ac:dyDescent="0.25">
      <c r="A8" s="39">
        <f t="shared" si="24"/>
        <v>4</v>
      </c>
      <c r="B8" s="39">
        <f t="shared" si="0"/>
        <v>2030</v>
      </c>
      <c r="C8" s="39">
        <f t="shared" si="1"/>
        <v>34</v>
      </c>
      <c r="D8" s="28">
        <f t="shared" si="25"/>
        <v>140983.53349138959</v>
      </c>
      <c r="E8" s="28">
        <f t="shared" si="26"/>
        <v>147925.9696296296</v>
      </c>
      <c r="F8" s="28">
        <f t="shared" si="27"/>
        <v>158499.7640777007</v>
      </c>
      <c r="G8" s="35">
        <f t="shared" si="2"/>
        <v>8.4000000000000005E-2</v>
      </c>
      <c r="H8" s="35">
        <f t="shared" si="3"/>
        <v>0.21</v>
      </c>
      <c r="I8" s="35">
        <f t="shared" si="4"/>
        <v>0.33600000000000002</v>
      </c>
      <c r="J8" s="28">
        <f t="shared" si="28"/>
        <v>84784.641804691055</v>
      </c>
      <c r="K8" s="28">
        <f t="shared" si="29"/>
        <v>135237.71281574399</v>
      </c>
      <c r="L8" s="28">
        <f t="shared" si="30"/>
        <v>205414.52844314786</v>
      </c>
      <c r="M8" s="28">
        <f t="shared" si="5"/>
        <v>84784.641804691055</v>
      </c>
      <c r="N8" s="28">
        <f t="shared" si="6"/>
        <v>135237.71281574399</v>
      </c>
      <c r="O8" s="28">
        <f t="shared" si="7"/>
        <v>205414.52844314786</v>
      </c>
      <c r="P8" s="54">
        <f t="shared" si="31"/>
        <v>0.53987508848849297</v>
      </c>
      <c r="Q8" s="54">
        <f t="shared" si="32"/>
        <v>0.46969020165609604</v>
      </c>
      <c r="R8" s="54">
        <f t="shared" si="33"/>
        <v>0.42385119538068028</v>
      </c>
      <c r="S8" s="28">
        <f t="shared" si="8"/>
        <v>45773.115996772765</v>
      </c>
      <c r="T8" s="28">
        <f t="shared" si="9"/>
        <v>63519.828603935995</v>
      </c>
      <c r="U8" s="28">
        <f t="shared" si="10"/>
        <v>87065.193429186969</v>
      </c>
      <c r="V8" s="28">
        <f t="shared" si="11"/>
        <v>186756.64948816237</v>
      </c>
      <c r="W8" s="28">
        <f t="shared" si="12"/>
        <v>211445.79823356558</v>
      </c>
      <c r="X8" s="28">
        <f t="shared" si="13"/>
        <v>245564.95750688767</v>
      </c>
      <c r="Y8" s="28">
        <f t="shared" si="34"/>
        <v>182027.42250752851</v>
      </c>
      <c r="Z8" s="28">
        <f t="shared" si="35"/>
        <v>190863.43127572641</v>
      </c>
      <c r="AA8" s="28">
        <f t="shared" si="36"/>
        <v>204315.4552931333</v>
      </c>
      <c r="AB8" s="28">
        <f t="shared" si="14"/>
        <v>211445.79823356558</v>
      </c>
      <c r="AC8" s="28">
        <f t="shared" si="15"/>
        <v>190863.43127572641</v>
      </c>
      <c r="AD8" s="39">
        <f t="shared" si="16"/>
        <v>0</v>
      </c>
      <c r="AE8" s="39">
        <f t="shared" si="17"/>
        <v>0</v>
      </c>
      <c r="AF8" s="39">
        <f t="shared" si="18"/>
        <v>0</v>
      </c>
      <c r="AG8" s="39">
        <f t="shared" si="19"/>
        <v>0</v>
      </c>
      <c r="AH8" s="39">
        <f t="shared" si="20"/>
        <v>0</v>
      </c>
      <c r="AI8" s="39">
        <f t="shared" si="21"/>
        <v>0</v>
      </c>
      <c r="AJ8" s="39">
        <f t="shared" si="22"/>
        <v>0</v>
      </c>
      <c r="AK8" s="39">
        <f t="shared" si="23"/>
        <v>0</v>
      </c>
    </row>
    <row r="9" spans="1:37" x14ac:dyDescent="0.25">
      <c r="A9" s="39">
        <f t="shared" si="24"/>
        <v>5</v>
      </c>
      <c r="B9" s="39">
        <f t="shared" si="0"/>
        <v>2031</v>
      </c>
      <c r="C9" s="39">
        <f t="shared" si="1"/>
        <v>35</v>
      </c>
      <c r="D9" s="28">
        <f t="shared" si="25"/>
        <v>163574.78700966592</v>
      </c>
      <c r="E9" s="28">
        <f t="shared" si="26"/>
        <v>173494.61437283945</v>
      </c>
      <c r="F9" s="28">
        <f t="shared" si="27"/>
        <v>188859.07633530864</v>
      </c>
      <c r="G9" s="35">
        <f t="shared" si="2"/>
        <v>0.08</v>
      </c>
      <c r="H9" s="35">
        <f t="shared" si="3"/>
        <v>0.2</v>
      </c>
      <c r="I9" s="35">
        <f t="shared" si="4"/>
        <v>0.32</v>
      </c>
      <c r="J9" s="28">
        <f t="shared" si="28"/>
        <v>91567.413149066342</v>
      </c>
      <c r="K9" s="28">
        <f t="shared" si="29"/>
        <v>162285.25537889279</v>
      </c>
      <c r="L9" s="28">
        <f t="shared" si="30"/>
        <v>271147.17754495522</v>
      </c>
      <c r="M9" s="28">
        <f t="shared" si="5"/>
        <v>91567.413149066342</v>
      </c>
      <c r="N9" s="28">
        <f t="shared" si="6"/>
        <v>162285.25537889279</v>
      </c>
      <c r="O9" s="28">
        <f t="shared" si="7"/>
        <v>271147.17754495522</v>
      </c>
      <c r="P9" s="54">
        <f t="shared" si="31"/>
        <v>0.59884803327627589</v>
      </c>
      <c r="Q9" s="54">
        <f t="shared" si="32"/>
        <v>0.50296494363676725</v>
      </c>
      <c r="R9" s="54">
        <f t="shared" si="33"/>
        <v>0.44376657878571202</v>
      </c>
      <c r="S9" s="28">
        <f t="shared" si="8"/>
        <v>54834.96527651458</v>
      </c>
      <c r="T9" s="28">
        <f t="shared" si="9"/>
        <v>81623.794324723189</v>
      </c>
      <c r="U9" s="28">
        <f t="shared" si="10"/>
        <v>120326.05532652681</v>
      </c>
      <c r="V9" s="28">
        <f t="shared" si="11"/>
        <v>218409.7522861805</v>
      </c>
      <c r="W9" s="28">
        <f t="shared" si="12"/>
        <v>255118.40869756264</v>
      </c>
      <c r="X9" s="28">
        <f t="shared" si="13"/>
        <v>309185.13166183548</v>
      </c>
      <c r="Y9" s="28">
        <f t="shared" si="34"/>
        <v>211879.33232786978</v>
      </c>
      <c r="Z9" s="28">
        <f t="shared" si="35"/>
        <v>224551.44858985575</v>
      </c>
      <c r="AA9" s="28">
        <f t="shared" si="36"/>
        <v>244167.63596598653</v>
      </c>
      <c r="AB9" s="28">
        <f t="shared" si="14"/>
        <v>255118.40869756264</v>
      </c>
      <c r="AC9" s="28">
        <f t="shared" si="15"/>
        <v>224551.44858985575</v>
      </c>
      <c r="AD9" s="39">
        <f t="shared" si="16"/>
        <v>0</v>
      </c>
      <c r="AE9" s="39">
        <f t="shared" si="17"/>
        <v>0</v>
      </c>
      <c r="AF9" s="39">
        <f t="shared" si="18"/>
        <v>0</v>
      </c>
      <c r="AG9" s="39">
        <f t="shared" si="19"/>
        <v>0</v>
      </c>
      <c r="AH9" s="39">
        <f t="shared" si="20"/>
        <v>0</v>
      </c>
      <c r="AI9" s="39">
        <f t="shared" si="21"/>
        <v>0</v>
      </c>
      <c r="AJ9" s="39">
        <f t="shared" si="22"/>
        <v>0</v>
      </c>
      <c r="AK9" s="39">
        <f t="shared" si="23"/>
        <v>0</v>
      </c>
    </row>
    <row r="10" spans="1:37" x14ac:dyDescent="0.25">
      <c r="A10" s="39">
        <f t="shared" si="24"/>
        <v>6</v>
      </c>
      <c r="B10" s="39">
        <f t="shared" si="0"/>
        <v>2032</v>
      </c>
      <c r="C10" s="39">
        <f t="shared" si="1"/>
        <v>36</v>
      </c>
      <c r="D10" s="28">
        <f t="shared" si="25"/>
        <v>187190.17735410409</v>
      </c>
      <c r="E10" s="28">
        <f t="shared" si="26"/>
        <v>200682.6066164526</v>
      </c>
      <c r="F10" s="28">
        <f t="shared" si="27"/>
        <v>221930.48715459619</v>
      </c>
      <c r="G10" s="35">
        <f t="shared" si="2"/>
        <v>7.6000000000000012E-2</v>
      </c>
      <c r="H10" s="35">
        <f t="shared" si="3"/>
        <v>0.19</v>
      </c>
      <c r="I10" s="35">
        <f t="shared" si="4"/>
        <v>0.30400000000000005</v>
      </c>
      <c r="J10" s="28">
        <f t="shared" si="28"/>
        <v>98526.536548395394</v>
      </c>
      <c r="K10" s="28">
        <f t="shared" si="29"/>
        <v>193119.45390088242</v>
      </c>
      <c r="L10" s="28">
        <f t="shared" si="30"/>
        <v>353575.91951862164</v>
      </c>
      <c r="M10" s="28">
        <f t="shared" si="5"/>
        <v>98526.536548395394</v>
      </c>
      <c r="N10" s="28">
        <f t="shared" si="6"/>
        <v>193119.45390088242</v>
      </c>
      <c r="O10" s="28">
        <f t="shared" si="7"/>
        <v>353575.91951862164</v>
      </c>
      <c r="P10" s="54">
        <f t="shared" si="31"/>
        <v>0.65365560278165036</v>
      </c>
      <c r="Q10" s="54">
        <f t="shared" si="32"/>
        <v>0.53092691168775152</v>
      </c>
      <c r="R10" s="54">
        <f t="shared" si="33"/>
        <v>0.45903911207177933</v>
      </c>
      <c r="S10" s="28">
        <f t="shared" si="8"/>
        <v>64402.422637529693</v>
      </c>
      <c r="T10" s="28">
        <f t="shared" si="9"/>
        <v>102532.31524642061</v>
      </c>
      <c r="U10" s="28">
        <f t="shared" si="10"/>
        <v>162305.17614579099</v>
      </c>
      <c r="V10" s="28">
        <f t="shared" si="11"/>
        <v>251592.59999163379</v>
      </c>
      <c r="W10" s="28">
        <f t="shared" si="12"/>
        <v>303214.92186287319</v>
      </c>
      <c r="X10" s="28">
        <f t="shared" si="13"/>
        <v>384235.66330038721</v>
      </c>
      <c r="Y10" s="28">
        <f t="shared" si="34"/>
        <v>243084.52872673317</v>
      </c>
      <c r="Z10" s="28">
        <f t="shared" si="35"/>
        <v>260373.04033387994</v>
      </c>
      <c r="AA10" s="28">
        <f t="shared" si="36"/>
        <v>287579.94477894797</v>
      </c>
      <c r="AB10" s="28">
        <f t="shared" si="14"/>
        <v>303214.92186287319</v>
      </c>
      <c r="AC10" s="28">
        <f t="shared" si="15"/>
        <v>260373.04033387994</v>
      </c>
      <c r="AD10" s="39">
        <f t="shared" si="16"/>
        <v>0</v>
      </c>
      <c r="AE10" s="39">
        <f t="shared" si="17"/>
        <v>0</v>
      </c>
      <c r="AF10" s="39">
        <f t="shared" si="18"/>
        <v>0</v>
      </c>
      <c r="AG10" s="39">
        <f t="shared" si="19"/>
        <v>0</v>
      </c>
      <c r="AH10" s="39">
        <f t="shared" si="20"/>
        <v>0</v>
      </c>
      <c r="AI10" s="39">
        <f t="shared" si="21"/>
        <v>0</v>
      </c>
      <c r="AJ10" s="39">
        <f t="shared" si="22"/>
        <v>0</v>
      </c>
      <c r="AK10" s="39">
        <f t="shared" si="23"/>
        <v>0</v>
      </c>
    </row>
    <row r="11" spans="1:37" x14ac:dyDescent="0.25">
      <c r="A11" s="39">
        <f t="shared" si="24"/>
        <v>7</v>
      </c>
      <c r="B11" s="39">
        <f t="shared" si="0"/>
        <v>2033</v>
      </c>
      <c r="C11" s="39">
        <f t="shared" si="1"/>
        <v>37</v>
      </c>
      <c r="D11" s="28">
        <f t="shared" si="25"/>
        <v>211876.13206082347</v>
      </c>
      <c r="E11" s="28">
        <f t="shared" si="26"/>
        <v>229592.50503549457</v>
      </c>
      <c r="F11" s="28">
        <f t="shared" si="27"/>
        <v>257956.27734040678</v>
      </c>
      <c r="G11" s="35">
        <f t="shared" si="2"/>
        <v>7.2000000000000008E-2</v>
      </c>
      <c r="H11" s="35">
        <f t="shared" si="3"/>
        <v>0.18</v>
      </c>
      <c r="I11" s="35">
        <f t="shared" si="4"/>
        <v>0.28800000000000003</v>
      </c>
      <c r="J11" s="28">
        <f t="shared" si="28"/>
        <v>105620.44717987986</v>
      </c>
      <c r="K11" s="28">
        <f t="shared" si="29"/>
        <v>227880.95560304125</v>
      </c>
      <c r="L11" s="28">
        <f t="shared" si="30"/>
        <v>455405.7843399847</v>
      </c>
      <c r="M11" s="28">
        <f t="shared" si="5"/>
        <v>105620.44717987986</v>
      </c>
      <c r="N11" s="28">
        <f t="shared" si="6"/>
        <v>227880.95560304125</v>
      </c>
      <c r="O11" s="28">
        <f t="shared" si="7"/>
        <v>455405.7843399847</v>
      </c>
      <c r="P11" s="54">
        <f t="shared" si="31"/>
        <v>0.70478206687248479</v>
      </c>
      <c r="Q11" s="54">
        <f t="shared" si="32"/>
        <v>0.55462349478180595</v>
      </c>
      <c r="R11" s="54">
        <f t="shared" si="33"/>
        <v>0.47089666897089988</v>
      </c>
      <c r="S11" s="28">
        <f t="shared" si="8"/>
        <v>74439.397067431841</v>
      </c>
      <c r="T11" s="28">
        <f t="shared" si="9"/>
        <v>126388.1319907763</v>
      </c>
      <c r="U11" s="28">
        <f t="shared" si="10"/>
        <v>214449.06687577881</v>
      </c>
      <c r="V11" s="28">
        <f t="shared" si="11"/>
        <v>286315.52912825532</v>
      </c>
      <c r="W11" s="28">
        <f t="shared" si="12"/>
        <v>355980.63702627085</v>
      </c>
      <c r="X11" s="28">
        <f t="shared" si="13"/>
        <v>472405.34421618562</v>
      </c>
      <c r="Y11" s="28">
        <f t="shared" si="34"/>
        <v>275704.36069567839</v>
      </c>
      <c r="Z11" s="28">
        <f t="shared" si="35"/>
        <v>298463.33288835897</v>
      </c>
      <c r="AA11" s="28">
        <f t="shared" si="36"/>
        <v>334870.41984586732</v>
      </c>
      <c r="AB11" s="28">
        <f t="shared" si="14"/>
        <v>355980.63702627085</v>
      </c>
      <c r="AC11" s="28">
        <f t="shared" si="15"/>
        <v>298463.33288835897</v>
      </c>
      <c r="AD11" s="39">
        <f t="shared" si="16"/>
        <v>0</v>
      </c>
      <c r="AE11" s="39">
        <f t="shared" si="17"/>
        <v>0</v>
      </c>
      <c r="AF11" s="39">
        <f t="shared" si="18"/>
        <v>0</v>
      </c>
      <c r="AG11" s="39">
        <f t="shared" si="19"/>
        <v>0</v>
      </c>
      <c r="AH11" s="39">
        <f t="shared" si="20"/>
        <v>0</v>
      </c>
      <c r="AI11" s="39">
        <f t="shared" si="21"/>
        <v>0</v>
      </c>
      <c r="AJ11" s="39">
        <f t="shared" si="22"/>
        <v>0</v>
      </c>
      <c r="AK11" s="39">
        <f t="shared" si="23"/>
        <v>0</v>
      </c>
    </row>
    <row r="12" spans="1:37" x14ac:dyDescent="0.25">
      <c r="A12" s="39">
        <f t="shared" si="24"/>
        <v>8</v>
      </c>
      <c r="B12" s="39">
        <f t="shared" si="0"/>
        <v>2034</v>
      </c>
      <c r="C12" s="39">
        <f t="shared" si="1"/>
        <v>38</v>
      </c>
      <c r="D12" s="28">
        <f t="shared" si="25"/>
        <v>237681.1833809141</v>
      </c>
      <c r="E12" s="28">
        <f t="shared" si="26"/>
        <v>260333.36368774253</v>
      </c>
      <c r="F12" s="28">
        <f t="shared" si="27"/>
        <v>297200.37144948309</v>
      </c>
      <c r="G12" s="35">
        <f t="shared" si="2"/>
        <v>6.8000000000000005E-2</v>
      </c>
      <c r="H12" s="35">
        <f t="shared" si="3"/>
        <v>0.16999999999999998</v>
      </c>
      <c r="I12" s="35">
        <f t="shared" si="4"/>
        <v>0.27200000000000002</v>
      </c>
      <c r="J12" s="28">
        <f t="shared" si="28"/>
        <v>112802.6375881117</v>
      </c>
      <c r="K12" s="28">
        <f t="shared" si="29"/>
        <v>266620.71805555827</v>
      </c>
      <c r="L12" s="28">
        <f t="shared" si="30"/>
        <v>579276.1576804606</v>
      </c>
      <c r="M12" s="28">
        <f t="shared" si="5"/>
        <v>112802.6375881117</v>
      </c>
      <c r="N12" s="28">
        <f t="shared" si="6"/>
        <v>266620.71805555827</v>
      </c>
      <c r="O12" s="28">
        <f t="shared" si="7"/>
        <v>579276.1576804606</v>
      </c>
      <c r="P12" s="54">
        <f t="shared" si="31"/>
        <v>0.75265328793131847</v>
      </c>
      <c r="Q12" s="54">
        <f t="shared" si="32"/>
        <v>0.57487698460578407</v>
      </c>
      <c r="R12" s="54">
        <f t="shared" si="33"/>
        <v>0.48021864766517708</v>
      </c>
      <c r="S12" s="28">
        <f t="shared" si="8"/>
        <v>84901.276068017207</v>
      </c>
      <c r="T12" s="28">
        <f t="shared" si="9"/>
        <v>153274.11442920828</v>
      </c>
      <c r="U12" s="28">
        <f t="shared" si="10"/>
        <v>278179.21306599065</v>
      </c>
      <c r="V12" s="28">
        <f t="shared" si="11"/>
        <v>322582.45944893127</v>
      </c>
      <c r="W12" s="28">
        <f t="shared" si="12"/>
        <v>413607.47811695084</v>
      </c>
      <c r="X12" s="28">
        <f t="shared" si="13"/>
        <v>575379.58451547381</v>
      </c>
      <c r="Y12" s="28">
        <f t="shared" si="34"/>
        <v>309802.9583805491</v>
      </c>
      <c r="Z12" s="28">
        <f t="shared" si="35"/>
        <v>338966.01063795498</v>
      </c>
      <c r="AA12" s="28">
        <f t="shared" si="36"/>
        <v>386385.51068543142</v>
      </c>
      <c r="AB12" s="28">
        <f t="shared" si="14"/>
        <v>413607.47811695084</v>
      </c>
      <c r="AC12" s="28">
        <f t="shared" si="15"/>
        <v>338966.01063795498</v>
      </c>
      <c r="AD12" s="39">
        <f t="shared" si="16"/>
        <v>0</v>
      </c>
      <c r="AE12" s="39">
        <f t="shared" si="17"/>
        <v>0</v>
      </c>
      <c r="AF12" s="39">
        <f t="shared" si="18"/>
        <v>0</v>
      </c>
      <c r="AG12" s="39">
        <f t="shared" si="19"/>
        <v>0</v>
      </c>
      <c r="AH12" s="39">
        <f t="shared" si="20"/>
        <v>0</v>
      </c>
      <c r="AI12" s="39">
        <f t="shared" si="21"/>
        <v>0</v>
      </c>
      <c r="AJ12" s="39">
        <f t="shared" si="22"/>
        <v>0</v>
      </c>
      <c r="AK12" s="39">
        <f t="shared" si="23"/>
        <v>0</v>
      </c>
    </row>
    <row r="13" spans="1:37" x14ac:dyDescent="0.25">
      <c r="A13" s="39">
        <f t="shared" si="24"/>
        <v>9</v>
      </c>
      <c r="B13" s="39">
        <f t="shared" si="0"/>
        <v>2035</v>
      </c>
      <c r="C13" s="39">
        <f t="shared" si="1"/>
        <v>39</v>
      </c>
      <c r="D13" s="28">
        <f t="shared" si="25"/>
        <v>264656.0636941822</v>
      </c>
      <c r="E13" s="28">
        <f t="shared" si="26"/>
        <v>293021.14338796621</v>
      </c>
      <c r="F13" s="28">
        <f t="shared" si="27"/>
        <v>339950.27129897021</v>
      </c>
      <c r="G13" s="35">
        <f t="shared" si="2"/>
        <v>6.4000000000000001E-2</v>
      </c>
      <c r="H13" s="35">
        <f t="shared" si="3"/>
        <v>0.16</v>
      </c>
      <c r="I13" s="35">
        <f t="shared" si="4"/>
        <v>0.25600000000000001</v>
      </c>
      <c r="J13" s="28">
        <f t="shared" si="28"/>
        <v>120022.00639375085</v>
      </c>
      <c r="K13" s="28">
        <f t="shared" si="29"/>
        <v>309280.03294444759</v>
      </c>
      <c r="L13" s="28">
        <f t="shared" si="30"/>
        <v>727570.8540466585</v>
      </c>
      <c r="M13" s="28">
        <f t="shared" si="5"/>
        <v>120022.00639375085</v>
      </c>
      <c r="N13" s="28">
        <f t="shared" si="6"/>
        <v>309280.03294444759</v>
      </c>
      <c r="O13" s="28">
        <f t="shared" si="7"/>
        <v>727570.8540466585</v>
      </c>
      <c r="P13" s="54">
        <f t="shared" si="31"/>
        <v>0.79764503704676371</v>
      </c>
      <c r="Q13" s="54">
        <f t="shared" si="32"/>
        <v>0.59233688962645492</v>
      </c>
      <c r="R13" s="54">
        <f t="shared" si="33"/>
        <v>0.48764060522431496</v>
      </c>
      <c r="S13" s="28">
        <f t="shared" si="8"/>
        <v>95734.957736370314</v>
      </c>
      <c r="T13" s="28">
        <f t="shared" si="9"/>
        <v>183197.97273788159</v>
      </c>
      <c r="U13" s="28">
        <f t="shared" si="10"/>
        <v>354793.09161088429</v>
      </c>
      <c r="V13" s="28">
        <f t="shared" si="11"/>
        <v>360391.02143055253</v>
      </c>
      <c r="W13" s="28">
        <f t="shared" si="12"/>
        <v>476219.1161258478</v>
      </c>
      <c r="X13" s="28">
        <f t="shared" si="13"/>
        <v>694743.36290985451</v>
      </c>
      <c r="Y13" s="28">
        <f t="shared" si="34"/>
        <v>345447.35916046728</v>
      </c>
      <c r="Z13" s="28">
        <f t="shared" si="35"/>
        <v>382033.85797835875</v>
      </c>
      <c r="AA13" s="28">
        <f t="shared" si="36"/>
        <v>442502.61630666326</v>
      </c>
      <c r="AB13" s="28">
        <f t="shared" si="14"/>
        <v>476219.1161258478</v>
      </c>
      <c r="AC13" s="28">
        <f t="shared" si="15"/>
        <v>382033.85797835875</v>
      </c>
      <c r="AD13" s="39">
        <f t="shared" si="16"/>
        <v>0</v>
      </c>
      <c r="AE13" s="39">
        <f t="shared" si="17"/>
        <v>0</v>
      </c>
      <c r="AF13" s="39">
        <f t="shared" si="18"/>
        <v>0</v>
      </c>
      <c r="AG13" s="39">
        <f t="shared" si="19"/>
        <v>0</v>
      </c>
      <c r="AH13" s="39">
        <f t="shared" si="20"/>
        <v>0</v>
      </c>
      <c r="AI13" s="39">
        <f t="shared" si="21"/>
        <v>0</v>
      </c>
      <c r="AJ13" s="39">
        <f t="shared" si="22"/>
        <v>0</v>
      </c>
      <c r="AK13" s="39">
        <f t="shared" si="23"/>
        <v>0</v>
      </c>
    </row>
    <row r="14" spans="1:37" x14ac:dyDescent="0.25">
      <c r="A14" s="39">
        <f t="shared" si="24"/>
        <v>10</v>
      </c>
      <c r="B14" s="39">
        <f t="shared" si="0"/>
        <v>2036</v>
      </c>
      <c r="C14" s="39">
        <f t="shared" si="1"/>
        <v>40</v>
      </c>
      <c r="D14" s="28">
        <f t="shared" si="25"/>
        <v>292853.80524831841</v>
      </c>
      <c r="E14" s="28">
        <f t="shared" si="26"/>
        <v>327779.14913587068</v>
      </c>
      <c r="F14" s="28">
        <f t="shared" si="27"/>
        <v>386519.16220167821</v>
      </c>
      <c r="G14" s="35">
        <f t="shared" si="2"/>
        <v>6.0000000000000005E-2</v>
      </c>
      <c r="H14" s="35">
        <f t="shared" si="3"/>
        <v>0.15</v>
      </c>
      <c r="I14" s="35">
        <f t="shared" si="4"/>
        <v>0.24000000000000002</v>
      </c>
      <c r="J14" s="28">
        <f t="shared" si="28"/>
        <v>127223.32677737591</v>
      </c>
      <c r="K14" s="28">
        <f t="shared" si="29"/>
        <v>355672.03788611473</v>
      </c>
      <c r="L14" s="28">
        <f t="shared" si="30"/>
        <v>902187.85901785654</v>
      </c>
      <c r="M14" s="28">
        <f t="shared" si="5"/>
        <v>127223.32677737591</v>
      </c>
      <c r="N14" s="28">
        <f t="shared" si="6"/>
        <v>355672.03788611473</v>
      </c>
      <c r="O14" s="28">
        <f t="shared" si="7"/>
        <v>902187.85901785654</v>
      </c>
      <c r="P14" s="54">
        <f t="shared" si="31"/>
        <v>0.84009008338208935</v>
      </c>
      <c r="Q14" s="54">
        <f t="shared" si="32"/>
        <v>0.60751941573138613</v>
      </c>
      <c r="R14" s="54">
        <f t="shared" si="33"/>
        <v>0.49362605486878097</v>
      </c>
      <c r="S14" s="28">
        <f t="shared" si="8"/>
        <v>106879.05520055254</v>
      </c>
      <c r="T14" s="28">
        <f t="shared" si="9"/>
        <v>216077.66864856385</v>
      </c>
      <c r="U14" s="28">
        <f t="shared" si="10"/>
        <v>445343.43359749648</v>
      </c>
      <c r="V14" s="28">
        <f t="shared" si="11"/>
        <v>399732.86044887092</v>
      </c>
      <c r="W14" s="28">
        <f t="shared" si="12"/>
        <v>543856.81778443453</v>
      </c>
      <c r="X14" s="28">
        <f t="shared" si="13"/>
        <v>831862.59579917463</v>
      </c>
      <c r="Y14" s="28">
        <f t="shared" si="34"/>
        <v>382707.63944240846</v>
      </c>
      <c r="Z14" s="28">
        <f t="shared" si="35"/>
        <v>427829.33565032145</v>
      </c>
      <c r="AA14" s="28">
        <f t="shared" si="36"/>
        <v>503632.85003005847</v>
      </c>
      <c r="AB14" s="28">
        <f t="shared" si="14"/>
        <v>543856.81778443453</v>
      </c>
      <c r="AC14" s="28">
        <f t="shared" si="15"/>
        <v>427829.33565032145</v>
      </c>
      <c r="AD14" s="39">
        <f t="shared" si="16"/>
        <v>0</v>
      </c>
      <c r="AE14" s="39">
        <f t="shared" si="17"/>
        <v>0</v>
      </c>
      <c r="AF14" s="39">
        <f t="shared" si="18"/>
        <v>0</v>
      </c>
      <c r="AG14" s="39">
        <f t="shared" si="19"/>
        <v>0</v>
      </c>
      <c r="AH14" s="39">
        <f t="shared" si="20"/>
        <v>0</v>
      </c>
      <c r="AI14" s="39">
        <f t="shared" si="21"/>
        <v>0</v>
      </c>
      <c r="AJ14" s="39">
        <f t="shared" si="22"/>
        <v>0</v>
      </c>
      <c r="AK14" s="39">
        <f t="shared" si="23"/>
        <v>0</v>
      </c>
    </row>
    <row r="15" spans="1:37" x14ac:dyDescent="0.25">
      <c r="A15" s="39">
        <f t="shared" si="24"/>
        <v>11</v>
      </c>
      <c r="B15" s="39">
        <f t="shared" si="0"/>
        <v>2037</v>
      </c>
      <c r="C15" s="39">
        <f t="shared" si="1"/>
        <v>41</v>
      </c>
      <c r="D15" s="28">
        <f t="shared" si="25"/>
        <v>322329.84441957547</v>
      </c>
      <c r="E15" s="28">
        <f t="shared" si="26"/>
        <v>364738.49524780916</v>
      </c>
      <c r="F15" s="28">
        <f t="shared" si="27"/>
        <v>437248.20735836145</v>
      </c>
      <c r="G15" s="35">
        <f t="shared" si="2"/>
        <v>5.6000000000000008E-2</v>
      </c>
      <c r="H15" s="35">
        <f t="shared" si="3"/>
        <v>0.13999999999999999</v>
      </c>
      <c r="I15" s="35">
        <f t="shared" si="4"/>
        <v>0.22400000000000003</v>
      </c>
      <c r="J15" s="28">
        <f t="shared" si="28"/>
        <v>134347.83307690898</v>
      </c>
      <c r="K15" s="28">
        <f t="shared" si="29"/>
        <v>405466.12319017074</v>
      </c>
      <c r="L15" s="28">
        <f t="shared" si="30"/>
        <v>1104277.9394378564</v>
      </c>
      <c r="M15" s="28">
        <f t="shared" si="5"/>
        <v>134347.83307690898</v>
      </c>
      <c r="N15" s="28">
        <f t="shared" si="6"/>
        <v>405466.12319017074</v>
      </c>
      <c r="O15" s="28">
        <f t="shared" si="7"/>
        <v>1104277.9394378564</v>
      </c>
      <c r="P15" s="54">
        <f t="shared" si="31"/>
        <v>0.88028425604811744</v>
      </c>
      <c r="Q15" s="54">
        <f t="shared" si="32"/>
        <v>0.6208374210865889</v>
      </c>
      <c r="R15" s="54">
        <f t="shared" si="33"/>
        <v>0.49851612810772383</v>
      </c>
      <c r="S15" s="28">
        <f t="shared" si="8"/>
        <v>118264.28229178349</v>
      </c>
      <c r="T15" s="28">
        <f t="shared" si="9"/>
        <v>251728.54225936276</v>
      </c>
      <c r="U15" s="28">
        <f t="shared" si="10"/>
        <v>550500.36272333574</v>
      </c>
      <c r="V15" s="28">
        <f t="shared" si="11"/>
        <v>440594.12671135896</v>
      </c>
      <c r="W15" s="28">
        <f t="shared" si="12"/>
        <v>616467.03750717198</v>
      </c>
      <c r="X15" s="28">
        <f t="shared" si="13"/>
        <v>987748.57008169719</v>
      </c>
      <c r="Y15" s="28">
        <f t="shared" si="34"/>
        <v>421657.05243046425</v>
      </c>
      <c r="Z15" s="28">
        <f t="shared" si="35"/>
        <v>476525.19357484177</v>
      </c>
      <c r="AA15" s="28">
        <f t="shared" si="36"/>
        <v>570224.05129941029</v>
      </c>
      <c r="AB15" s="28">
        <f t="shared" si="14"/>
        <v>616467.03750717198</v>
      </c>
      <c r="AC15" s="28">
        <f t="shared" si="15"/>
        <v>476525.19357484177</v>
      </c>
      <c r="AD15" s="39">
        <f t="shared" si="16"/>
        <v>0</v>
      </c>
      <c r="AE15" s="39">
        <f t="shared" si="17"/>
        <v>0</v>
      </c>
      <c r="AF15" s="39">
        <f t="shared" si="18"/>
        <v>0</v>
      </c>
      <c r="AG15" s="39">
        <f t="shared" si="19"/>
        <v>0</v>
      </c>
      <c r="AH15" s="39">
        <f t="shared" si="20"/>
        <v>1</v>
      </c>
      <c r="AI15" s="39">
        <f t="shared" si="21"/>
        <v>0</v>
      </c>
      <c r="AJ15" s="39">
        <f t="shared" si="22"/>
        <v>0</v>
      </c>
      <c r="AK15" s="39">
        <f t="shared" si="23"/>
        <v>0</v>
      </c>
    </row>
    <row r="16" spans="1:37" x14ac:dyDescent="0.25">
      <c r="A16" s="39">
        <f t="shared" si="24"/>
        <v>12</v>
      </c>
      <c r="B16" s="39">
        <f t="shared" si="0"/>
        <v>2038</v>
      </c>
      <c r="C16" s="39">
        <f t="shared" si="1"/>
        <v>42</v>
      </c>
      <c r="D16" s="28">
        <f t="shared" si="25"/>
        <v>353142.13069992955</v>
      </c>
      <c r="E16" s="28">
        <f t="shared" si="26"/>
        <v>404038.59994683706</v>
      </c>
      <c r="F16" s="28">
        <f t="shared" si="27"/>
        <v>492509.04721570836</v>
      </c>
      <c r="G16" s="35">
        <f t="shared" si="2"/>
        <v>5.2000000000000005E-2</v>
      </c>
      <c r="H16" s="35">
        <f t="shared" si="3"/>
        <v>0.12999999999999998</v>
      </c>
      <c r="I16" s="35">
        <f t="shared" si="4"/>
        <v>0.20800000000000002</v>
      </c>
      <c r="J16" s="28">
        <f t="shared" si="28"/>
        <v>141333.92039690824</v>
      </c>
      <c r="K16" s="28">
        <f t="shared" si="29"/>
        <v>458176.71920489287</v>
      </c>
      <c r="L16" s="28">
        <f t="shared" si="30"/>
        <v>1333967.7508409305</v>
      </c>
      <c r="M16" s="28">
        <f t="shared" si="5"/>
        <v>141333.92039690824</v>
      </c>
      <c r="N16" s="28">
        <f t="shared" si="6"/>
        <v>458176.71920489287</v>
      </c>
      <c r="O16" s="28">
        <f t="shared" si="7"/>
        <v>1333967.7508409305</v>
      </c>
      <c r="P16" s="54">
        <f t="shared" si="31"/>
        <v>0.91849164451392362</v>
      </c>
      <c r="Q16" s="54">
        <f t="shared" si="32"/>
        <v>0.63262326653367096</v>
      </c>
      <c r="R16" s="54">
        <f t="shared" si="33"/>
        <v>0.50256420198102092</v>
      </c>
      <c r="S16" s="28">
        <f t="shared" si="8"/>
        <v>129814.02497095622</v>
      </c>
      <c r="T16" s="28">
        <f t="shared" si="9"/>
        <v>289853.25275307987</v>
      </c>
      <c r="U16" s="28">
        <f t="shared" si="10"/>
        <v>670404.43816978962</v>
      </c>
      <c r="V16" s="28">
        <f t="shared" si="11"/>
        <v>482956.15567088575</v>
      </c>
      <c r="W16" s="28">
        <f t="shared" si="12"/>
        <v>693891.85269991693</v>
      </c>
      <c r="X16" s="28">
        <f t="shared" si="13"/>
        <v>1162913.485385498</v>
      </c>
      <c r="Y16" s="28">
        <f t="shared" si="34"/>
        <v>462372.17214064527</v>
      </c>
      <c r="Z16" s="28">
        <f t="shared" si="35"/>
        <v>528305.12250124838</v>
      </c>
      <c r="AA16" s="28">
        <f t="shared" si="36"/>
        <v>642764.06654882419</v>
      </c>
      <c r="AB16" s="28">
        <f t="shared" si="14"/>
        <v>693891.85269991693</v>
      </c>
      <c r="AC16" s="28">
        <f t="shared" si="15"/>
        <v>528305.12250124838</v>
      </c>
      <c r="AD16" s="39">
        <f t="shared" si="16"/>
        <v>0</v>
      </c>
      <c r="AE16" s="39">
        <f t="shared" si="17"/>
        <v>0</v>
      </c>
      <c r="AF16" s="39">
        <f t="shared" si="18"/>
        <v>0</v>
      </c>
      <c r="AG16" s="39">
        <f t="shared" si="19"/>
        <v>0</v>
      </c>
      <c r="AH16" s="39">
        <f t="shared" si="20"/>
        <v>1</v>
      </c>
      <c r="AI16" s="39">
        <f t="shared" si="21"/>
        <v>0</v>
      </c>
      <c r="AJ16" s="39">
        <f t="shared" si="22"/>
        <v>0</v>
      </c>
      <c r="AK16" s="39">
        <f t="shared" si="23"/>
        <v>0</v>
      </c>
    </row>
    <row r="17" spans="1:37" x14ac:dyDescent="0.25">
      <c r="A17" s="39">
        <f t="shared" si="24"/>
        <v>13</v>
      </c>
      <c r="B17" s="39">
        <f t="shared" si="0"/>
        <v>2039</v>
      </c>
      <c r="C17" s="39">
        <f t="shared" si="1"/>
        <v>43</v>
      </c>
      <c r="D17" s="28">
        <f t="shared" si="25"/>
        <v>385351.24062499299</v>
      </c>
      <c r="E17" s="28">
        <f t="shared" si="26"/>
        <v>445827.71127680334</v>
      </c>
      <c r="F17" s="28">
        <f t="shared" si="27"/>
        <v>552706.52210031159</v>
      </c>
      <c r="G17" s="35">
        <f t="shared" si="2"/>
        <v>4.8000000000000001E-2</v>
      </c>
      <c r="H17" s="35">
        <f t="shared" si="3"/>
        <v>0.12</v>
      </c>
      <c r="I17" s="35">
        <f t="shared" si="4"/>
        <v>0.192</v>
      </c>
      <c r="J17" s="28">
        <f t="shared" si="28"/>
        <v>148117.94857595983</v>
      </c>
      <c r="K17" s="28">
        <f t="shared" si="29"/>
        <v>513157.92550948006</v>
      </c>
      <c r="L17" s="28">
        <f t="shared" si="30"/>
        <v>1590089.5590023892</v>
      </c>
      <c r="M17" s="28">
        <f t="shared" si="5"/>
        <v>148117.94857595983</v>
      </c>
      <c r="N17" s="28">
        <f t="shared" si="6"/>
        <v>513157.92550948006</v>
      </c>
      <c r="O17" s="28">
        <f t="shared" si="7"/>
        <v>1590089.5590023892</v>
      </c>
      <c r="P17" s="54">
        <f t="shared" si="31"/>
        <v>0.95494907625610503</v>
      </c>
      <c r="Q17" s="54">
        <f t="shared" si="32"/>
        <v>0.64314634282570859</v>
      </c>
      <c r="R17" s="54">
        <f t="shared" si="33"/>
        <v>0.50596023710962579</v>
      </c>
      <c r="S17" s="28">
        <f t="shared" si="8"/>
        <v>141445.09816956212</v>
      </c>
      <c r="T17" s="28">
        <f t="shared" si="9"/>
        <v>330035.64308344951</v>
      </c>
      <c r="U17" s="28">
        <f t="shared" si="10"/>
        <v>804522.0902983892</v>
      </c>
      <c r="V17" s="28">
        <f t="shared" si="11"/>
        <v>526796.33879455505</v>
      </c>
      <c r="W17" s="28">
        <f t="shared" si="12"/>
        <v>775863.35436025285</v>
      </c>
      <c r="X17" s="28">
        <f t="shared" si="13"/>
        <v>1357228.6123987008</v>
      </c>
      <c r="Y17" s="28">
        <f t="shared" si="34"/>
        <v>504933.04394435446</v>
      </c>
      <c r="Z17" s="28">
        <f t="shared" si="35"/>
        <v>583364.44692632742</v>
      </c>
      <c r="AA17" s="28">
        <f t="shared" si="36"/>
        <v>721784.32316051912</v>
      </c>
      <c r="AB17" s="28">
        <f t="shared" si="14"/>
        <v>775863.35436025285</v>
      </c>
      <c r="AC17" s="28">
        <f t="shared" si="15"/>
        <v>583364.44692632742</v>
      </c>
      <c r="AD17" s="39">
        <f t="shared" si="16"/>
        <v>0</v>
      </c>
      <c r="AE17" s="39">
        <f t="shared" si="17"/>
        <v>0</v>
      </c>
      <c r="AF17" s="39">
        <f t="shared" si="18"/>
        <v>0</v>
      </c>
      <c r="AG17" s="39">
        <f t="shared" si="19"/>
        <v>0</v>
      </c>
      <c r="AH17" s="39">
        <f t="shared" si="20"/>
        <v>1</v>
      </c>
      <c r="AI17" s="39">
        <f t="shared" si="21"/>
        <v>0</v>
      </c>
      <c r="AJ17" s="39">
        <f t="shared" si="22"/>
        <v>0</v>
      </c>
      <c r="AK17" s="39">
        <f t="shared" si="23"/>
        <v>0</v>
      </c>
    </row>
    <row r="18" spans="1:37" x14ac:dyDescent="0.25">
      <c r="A18" s="39">
        <f t="shared" si="24"/>
        <v>14</v>
      </c>
      <c r="B18" s="39">
        <f t="shared" si="0"/>
        <v>2040</v>
      </c>
      <c r="C18" s="39">
        <f t="shared" si="1"/>
        <v>44</v>
      </c>
      <c r="D18" s="28">
        <f t="shared" si="25"/>
        <v>419020.49686665932</v>
      </c>
      <c r="E18" s="28">
        <f t="shared" si="26"/>
        <v>490263.46632433415</v>
      </c>
      <c r="F18" s="28">
        <f t="shared" si="27"/>
        <v>618281.63807460607</v>
      </c>
      <c r="G18" s="35">
        <f t="shared" si="2"/>
        <v>4.3999999999999997E-2</v>
      </c>
      <c r="H18" s="35">
        <f t="shared" si="3"/>
        <v>0.10999999999999999</v>
      </c>
      <c r="I18" s="35">
        <f t="shared" si="4"/>
        <v>0.17599999999999999</v>
      </c>
      <c r="J18" s="28">
        <f t="shared" si="28"/>
        <v>154635.13831330207</v>
      </c>
      <c r="K18" s="28">
        <f t="shared" si="29"/>
        <v>569605.2973155228</v>
      </c>
      <c r="L18" s="28">
        <f t="shared" si="30"/>
        <v>1869945.3213868097</v>
      </c>
      <c r="M18" s="28">
        <f t="shared" si="5"/>
        <v>154635.13831330207</v>
      </c>
      <c r="N18" s="28">
        <f t="shared" si="6"/>
        <v>569605.2973155228</v>
      </c>
      <c r="O18" s="28">
        <f t="shared" si="7"/>
        <v>1869945.3213868097</v>
      </c>
      <c r="P18" s="54">
        <f t="shared" si="31"/>
        <v>0.98986998788654701</v>
      </c>
      <c r="Q18" s="54">
        <f t="shared" si="32"/>
        <v>0.65262659173745419</v>
      </c>
      <c r="R18" s="54">
        <f t="shared" si="33"/>
        <v>0.50884802208292923</v>
      </c>
      <c r="S18" s="28">
        <f t="shared" si="8"/>
        <v>153068.68248902285</v>
      </c>
      <c r="T18" s="28">
        <f t="shared" si="9"/>
        <v>371739.56382262893</v>
      </c>
      <c r="U18" s="28">
        <f t="shared" si="10"/>
        <v>951517.97819090553</v>
      </c>
      <c r="V18" s="28">
        <f t="shared" si="11"/>
        <v>572089.17935568211</v>
      </c>
      <c r="W18" s="28">
        <f t="shared" si="12"/>
        <v>862003.03014696308</v>
      </c>
      <c r="X18" s="28">
        <f t="shared" si="13"/>
        <v>1569799.6162655116</v>
      </c>
      <c r="Y18" s="28">
        <f t="shared" si="34"/>
        <v>549423.34193649853</v>
      </c>
      <c r="Z18" s="28">
        <f t="shared" si="35"/>
        <v>641910.86189832806</v>
      </c>
      <c r="AA18" s="28">
        <f t="shared" si="36"/>
        <v>807863.7226961921</v>
      </c>
      <c r="AB18" s="28">
        <f t="shared" si="14"/>
        <v>862003.03014696308</v>
      </c>
      <c r="AC18" s="28">
        <f t="shared" si="15"/>
        <v>641910.86189832806</v>
      </c>
      <c r="AD18" s="39">
        <f t="shared" si="16"/>
        <v>0</v>
      </c>
      <c r="AE18" s="39">
        <f t="shared" si="17"/>
        <v>0</v>
      </c>
      <c r="AF18" s="39">
        <f t="shared" si="18"/>
        <v>0</v>
      </c>
      <c r="AG18" s="39">
        <f t="shared" si="19"/>
        <v>0</v>
      </c>
      <c r="AH18" s="39">
        <f t="shared" si="20"/>
        <v>1</v>
      </c>
      <c r="AI18" s="39">
        <f t="shared" si="21"/>
        <v>0</v>
      </c>
      <c r="AJ18" s="39">
        <f t="shared" si="22"/>
        <v>0</v>
      </c>
      <c r="AK18" s="39">
        <f t="shared" si="23"/>
        <v>0</v>
      </c>
    </row>
    <row r="19" spans="1:37" x14ac:dyDescent="0.25">
      <c r="A19" s="39">
        <f t="shared" si="24"/>
        <v>15</v>
      </c>
      <c r="B19" s="39">
        <f t="shared" si="0"/>
        <v>2041</v>
      </c>
      <c r="C19" s="39">
        <f t="shared" si="1"/>
        <v>45</v>
      </c>
      <c r="D19" s="28">
        <f t="shared" si="25"/>
        <v>454216.09272461449</v>
      </c>
      <c r="E19" s="28">
        <f t="shared" si="26"/>
        <v>537513.48585820862</v>
      </c>
      <c r="F19" s="28">
        <f t="shared" si="27"/>
        <v>689714.79774260416</v>
      </c>
      <c r="G19" s="35">
        <f t="shared" si="2"/>
        <v>4.0000000000000008E-2</v>
      </c>
      <c r="H19" s="35">
        <f t="shared" si="3"/>
        <v>0.1</v>
      </c>
      <c r="I19" s="35">
        <f t="shared" si="4"/>
        <v>0.16000000000000003</v>
      </c>
      <c r="J19" s="28">
        <f t="shared" si="28"/>
        <v>160820.54384583415</v>
      </c>
      <c r="K19" s="28">
        <f t="shared" si="29"/>
        <v>626565.82704707514</v>
      </c>
      <c r="L19" s="28">
        <f t="shared" si="30"/>
        <v>2169136.5728086997</v>
      </c>
      <c r="M19" s="28">
        <f t="shared" si="5"/>
        <v>160820.54384583415</v>
      </c>
      <c r="N19" s="28">
        <f t="shared" si="6"/>
        <v>626565.82704707514</v>
      </c>
      <c r="O19" s="28">
        <f t="shared" si="7"/>
        <v>2169136.5728086997</v>
      </c>
      <c r="P19" s="54">
        <f t="shared" si="31"/>
        <v>1.0234477875312027</v>
      </c>
      <c r="Q19" s="54">
        <f t="shared" si="32"/>
        <v>0.66124499983904106</v>
      </c>
      <c r="R19" s="54">
        <f t="shared" si="33"/>
        <v>0.51133749188750122</v>
      </c>
      <c r="S19" s="28">
        <f t="shared" si="8"/>
        <v>164591.42978858374</v>
      </c>
      <c r="T19" s="28">
        <f t="shared" si="9"/>
        <v>414313.52020489186</v>
      </c>
      <c r="U19" s="28">
        <f t="shared" si="10"/>
        <v>1109160.8547014506</v>
      </c>
      <c r="V19" s="28">
        <f t="shared" si="11"/>
        <v>618807.5225131982</v>
      </c>
      <c r="W19" s="28">
        <f t="shared" si="12"/>
        <v>951827.00606310042</v>
      </c>
      <c r="X19" s="28">
        <f t="shared" si="13"/>
        <v>1798875.6524440548</v>
      </c>
      <c r="Y19" s="28">
        <f t="shared" si="34"/>
        <v>595930.53343761968</v>
      </c>
      <c r="Z19" s="28">
        <f t="shared" si="35"/>
        <v>704165.2164852221</v>
      </c>
      <c r="AA19" s="28">
        <f t="shared" si="36"/>
        <v>901632.88192371849</v>
      </c>
      <c r="AB19" s="28">
        <f t="shared" si="14"/>
        <v>951827.00606310042</v>
      </c>
      <c r="AC19" s="28">
        <f t="shared" si="15"/>
        <v>704165.2164852221</v>
      </c>
      <c r="AD19" s="39">
        <f t="shared" si="16"/>
        <v>1</v>
      </c>
      <c r="AE19" s="39">
        <f t="shared" si="17"/>
        <v>0</v>
      </c>
      <c r="AF19" s="39">
        <f t="shared" si="18"/>
        <v>0</v>
      </c>
      <c r="AG19" s="39">
        <f t="shared" si="19"/>
        <v>1</v>
      </c>
      <c r="AH19" s="39">
        <f t="shared" si="20"/>
        <v>1</v>
      </c>
      <c r="AI19" s="39">
        <f t="shared" si="21"/>
        <v>0</v>
      </c>
      <c r="AJ19" s="39">
        <f t="shared" si="22"/>
        <v>0</v>
      </c>
      <c r="AK19" s="39">
        <f t="shared" si="23"/>
        <v>0</v>
      </c>
    </row>
    <row r="20" spans="1:37" x14ac:dyDescent="0.25">
      <c r="A20" s="39">
        <f t="shared" si="24"/>
        <v>16</v>
      </c>
      <c r="B20" s="39">
        <f t="shared" si="0"/>
        <v>2042</v>
      </c>
      <c r="C20" s="39">
        <f t="shared" si="1"/>
        <v>46</v>
      </c>
      <c r="D20" s="28">
        <f t="shared" si="25"/>
        <v>491007.22226146364</v>
      </c>
      <c r="E20" s="28">
        <f t="shared" si="26"/>
        <v>587756.00662922848</v>
      </c>
      <c r="F20" s="28">
        <f t="shared" si="27"/>
        <v>767529.31967427675</v>
      </c>
      <c r="G20" s="35">
        <f t="shared" si="2"/>
        <v>3.6000000000000004E-2</v>
      </c>
      <c r="H20" s="35">
        <f t="shared" si="3"/>
        <v>0.09</v>
      </c>
      <c r="I20" s="35">
        <f t="shared" si="4"/>
        <v>0.14400000000000002</v>
      </c>
      <c r="J20" s="28">
        <f t="shared" si="28"/>
        <v>166610.08342428418</v>
      </c>
      <c r="K20" s="28">
        <f t="shared" si="29"/>
        <v>682956.75148131198</v>
      </c>
      <c r="L20" s="28">
        <f t="shared" si="30"/>
        <v>2481492.2392931529</v>
      </c>
      <c r="M20" s="28">
        <f t="shared" si="5"/>
        <v>166610.08342428418</v>
      </c>
      <c r="N20" s="28">
        <f t="shared" si="6"/>
        <v>682956.75148131198</v>
      </c>
      <c r="O20" s="28">
        <f t="shared" si="7"/>
        <v>2481492.2392931529</v>
      </c>
      <c r="P20" s="54">
        <f t="shared" si="31"/>
        <v>1.0558587910492101</v>
      </c>
      <c r="Q20" s="54">
        <f t="shared" si="32"/>
        <v>0.66915179626251531</v>
      </c>
      <c r="R20" s="54">
        <f t="shared" si="33"/>
        <v>0.51351360185653261</v>
      </c>
      <c r="S20" s="28">
        <f t="shared" si="8"/>
        <v>175916.72126097273</v>
      </c>
      <c r="T20" s="28">
        <f t="shared" si="9"/>
        <v>457001.73702333216</v>
      </c>
      <c r="U20" s="28">
        <f t="shared" si="10"/>
        <v>1274280.0177784597</v>
      </c>
      <c r="V20" s="28">
        <f t="shared" si="11"/>
        <v>666923.94352243631</v>
      </c>
      <c r="W20" s="28">
        <f t="shared" si="12"/>
        <v>1044757.7436525606</v>
      </c>
      <c r="X20" s="28">
        <f t="shared" si="13"/>
        <v>2041809.3374527365</v>
      </c>
      <c r="Y20" s="28">
        <f t="shared" si="34"/>
        <v>644546.05095345841</v>
      </c>
      <c r="Z20" s="28">
        <f t="shared" si="35"/>
        <v>770362.34686261939</v>
      </c>
      <c r="AA20" s="28">
        <f t="shared" si="36"/>
        <v>1003778.752708904</v>
      </c>
      <c r="AB20" s="28">
        <f t="shared" si="14"/>
        <v>1044757.7436525606</v>
      </c>
      <c r="AC20" s="28">
        <f t="shared" si="15"/>
        <v>770362.34686261939</v>
      </c>
      <c r="AD20" s="39">
        <f t="shared" si="16"/>
        <v>1</v>
      </c>
      <c r="AE20" s="39">
        <f t="shared" si="17"/>
        <v>0</v>
      </c>
      <c r="AF20" s="39">
        <f t="shared" si="18"/>
        <v>0</v>
      </c>
      <c r="AG20" s="39">
        <f t="shared" si="19"/>
        <v>1</v>
      </c>
      <c r="AH20" s="39">
        <f t="shared" si="20"/>
        <v>1</v>
      </c>
      <c r="AI20" s="39">
        <f t="shared" si="21"/>
        <v>0</v>
      </c>
      <c r="AJ20" s="39">
        <f t="shared" si="22"/>
        <v>0</v>
      </c>
      <c r="AK20" s="39">
        <f t="shared" si="23"/>
        <v>1</v>
      </c>
    </row>
    <row r="21" spans="1:37" x14ac:dyDescent="0.25">
      <c r="A21" s="39">
        <f t="shared" si="24"/>
        <v>17</v>
      </c>
      <c r="B21" s="39">
        <f t="shared" si="0"/>
        <v>2043</v>
      </c>
      <c r="C21" s="39">
        <f t="shared" si="1"/>
        <v>47</v>
      </c>
      <c r="D21" s="28">
        <f t="shared" si="25"/>
        <v>529466.21633731667</v>
      </c>
      <c r="E21" s="28">
        <f t="shared" si="26"/>
        <v>641180.55371574627</v>
      </c>
      <c r="F21" s="28">
        <f t="shared" si="27"/>
        <v>852295.27223184542</v>
      </c>
      <c r="G21" s="35">
        <f t="shared" si="2"/>
        <v>3.2000000000000001E-2</v>
      </c>
      <c r="H21" s="35">
        <f t="shared" si="3"/>
        <v>7.9999999999999988E-2</v>
      </c>
      <c r="I21" s="35">
        <f t="shared" si="4"/>
        <v>0.128</v>
      </c>
      <c r="J21" s="28">
        <f t="shared" si="28"/>
        <v>171941.60609386128</v>
      </c>
      <c r="K21" s="28">
        <f t="shared" si="29"/>
        <v>737593.29159981699</v>
      </c>
      <c r="L21" s="28">
        <f t="shared" si="30"/>
        <v>2799123.2459226768</v>
      </c>
      <c r="M21" s="28">
        <f t="shared" si="5"/>
        <v>171941.60609386128</v>
      </c>
      <c r="N21" s="28">
        <f t="shared" si="6"/>
        <v>737593.29159981699</v>
      </c>
      <c r="O21" s="28">
        <f t="shared" si="7"/>
        <v>2799123.2459226768</v>
      </c>
      <c r="P21" s="54">
        <f t="shared" si="31"/>
        <v>1.0872648022100702</v>
      </c>
      <c r="Q21" s="54">
        <f t="shared" si="32"/>
        <v>0.67647290406202842</v>
      </c>
      <c r="R21" s="54">
        <f t="shared" si="33"/>
        <v>0.51544277736099309</v>
      </c>
      <c r="S21" s="28">
        <f t="shared" si="8"/>
        <v>186946.05634132389</v>
      </c>
      <c r="T21" s="28">
        <f t="shared" si="9"/>
        <v>498961.87598519877</v>
      </c>
      <c r="U21" s="28">
        <f t="shared" si="10"/>
        <v>1442787.8600541025</v>
      </c>
      <c r="V21" s="28">
        <f t="shared" si="11"/>
        <v>716412.27267864055</v>
      </c>
      <c r="W21" s="28">
        <f t="shared" si="12"/>
        <v>1140142.429700945</v>
      </c>
      <c r="X21" s="28">
        <f t="shared" si="13"/>
        <v>2295083.1322859479</v>
      </c>
      <c r="Y21" s="28">
        <f t="shared" si="34"/>
        <v>695365.47193001513</v>
      </c>
      <c r="Z21" s="28">
        <f t="shared" si="35"/>
        <v>840751.96216391854</v>
      </c>
      <c r="AA21" s="28">
        <f t="shared" si="36"/>
        <v>1115049.6546175659</v>
      </c>
      <c r="AB21" s="28">
        <f t="shared" si="14"/>
        <v>1140142.429700945</v>
      </c>
      <c r="AC21" s="28">
        <f t="shared" si="15"/>
        <v>840751.96216391854</v>
      </c>
      <c r="AD21" s="39">
        <f t="shared" si="16"/>
        <v>1</v>
      </c>
      <c r="AE21" s="39">
        <f t="shared" si="17"/>
        <v>0</v>
      </c>
      <c r="AF21" s="39">
        <f t="shared" si="18"/>
        <v>0</v>
      </c>
      <c r="AG21" s="39">
        <f t="shared" si="19"/>
        <v>1</v>
      </c>
      <c r="AH21" s="39">
        <f t="shared" si="20"/>
        <v>1</v>
      </c>
      <c r="AI21" s="39">
        <f t="shared" si="21"/>
        <v>0</v>
      </c>
      <c r="AJ21" s="39">
        <f t="shared" si="22"/>
        <v>0</v>
      </c>
      <c r="AK21" s="39">
        <f t="shared" si="23"/>
        <v>1</v>
      </c>
    </row>
    <row r="22" spans="1:37" x14ac:dyDescent="0.25">
      <c r="A22" s="39">
        <f t="shared" si="24"/>
        <v>18</v>
      </c>
      <c r="B22" s="39">
        <f t="shared" si="0"/>
        <v>2044</v>
      </c>
      <c r="C22" s="39">
        <f t="shared" si="1"/>
        <v>48</v>
      </c>
      <c r="D22" s="28">
        <f t="shared" si="25"/>
        <v>569668.68481127499</v>
      </c>
      <c r="E22" s="28">
        <f t="shared" si="26"/>
        <v>697988.6554510768</v>
      </c>
      <c r="F22" s="28">
        <f t="shared" si="27"/>
        <v>944633.64988455689</v>
      </c>
      <c r="G22" s="35">
        <f t="shared" si="2"/>
        <v>2.8000000000000011E-2</v>
      </c>
      <c r="H22" s="35">
        <f t="shared" si="3"/>
        <v>7.0000000000000007E-2</v>
      </c>
      <c r="I22" s="35">
        <f t="shared" si="4"/>
        <v>0.11200000000000004</v>
      </c>
      <c r="J22" s="28">
        <f t="shared" si="28"/>
        <v>176755.97106448939</v>
      </c>
      <c r="K22" s="28">
        <f t="shared" si="29"/>
        <v>789224.82201180421</v>
      </c>
      <c r="L22" s="28">
        <f t="shared" si="30"/>
        <v>3112625.0494660167</v>
      </c>
      <c r="M22" s="28">
        <f t="shared" si="5"/>
        <v>176755.97106448939</v>
      </c>
      <c r="N22" s="28">
        <f t="shared" si="6"/>
        <v>789224.82201180421</v>
      </c>
      <c r="O22" s="28">
        <f t="shared" si="7"/>
        <v>3112625.0494660167</v>
      </c>
      <c r="P22" s="54">
        <f t="shared" si="31"/>
        <v>1.1178153967245255</v>
      </c>
      <c r="Q22" s="54">
        <f t="shared" si="32"/>
        <v>0.68331506088400329</v>
      </c>
      <c r="R22" s="54">
        <f t="shared" si="33"/>
        <v>0.51717764741896122</v>
      </c>
      <c r="S22" s="28">
        <f t="shared" si="8"/>
        <v>197580.54591888096</v>
      </c>
      <c r="T22" s="28">
        <f t="shared" si="9"/>
        <v>539289.20730416267</v>
      </c>
      <c r="U22" s="28">
        <f t="shared" si="10"/>
        <v>1609780.1003801622</v>
      </c>
      <c r="V22" s="28">
        <f t="shared" si="11"/>
        <v>767249.23073015595</v>
      </c>
      <c r="W22" s="28">
        <f t="shared" si="12"/>
        <v>1237277.8627552395</v>
      </c>
      <c r="X22" s="28">
        <f t="shared" si="13"/>
        <v>2554413.7502647191</v>
      </c>
      <c r="Y22" s="28">
        <f t="shared" si="34"/>
        <v>748488.70665750909</v>
      </c>
      <c r="Z22" s="28">
        <f t="shared" si="35"/>
        <v>915599.58643429994</v>
      </c>
      <c r="AA22" s="28">
        <f t="shared" si="36"/>
        <v>1236260.7570967351</v>
      </c>
      <c r="AB22" s="28">
        <f t="shared" si="14"/>
        <v>1237277.8627552395</v>
      </c>
      <c r="AC22" s="28">
        <f t="shared" si="15"/>
        <v>915599.58643429994</v>
      </c>
      <c r="AD22" s="39">
        <f t="shared" si="16"/>
        <v>1</v>
      </c>
      <c r="AE22" s="39">
        <f t="shared" si="17"/>
        <v>1</v>
      </c>
      <c r="AF22" s="39">
        <f t="shared" si="18"/>
        <v>0</v>
      </c>
      <c r="AG22" s="39">
        <f t="shared" si="19"/>
        <v>1</v>
      </c>
      <c r="AH22" s="39">
        <f t="shared" si="20"/>
        <v>1</v>
      </c>
      <c r="AI22" s="39">
        <f t="shared" si="21"/>
        <v>0</v>
      </c>
      <c r="AJ22" s="39">
        <f t="shared" si="22"/>
        <v>1</v>
      </c>
      <c r="AK22" s="39">
        <f t="shared" si="23"/>
        <v>1</v>
      </c>
    </row>
    <row r="23" spans="1:37" x14ac:dyDescent="0.25">
      <c r="A23" s="39">
        <f t="shared" si="24"/>
        <v>19</v>
      </c>
      <c r="B23" s="39">
        <f t="shared" si="0"/>
        <v>2045</v>
      </c>
      <c r="C23" s="39">
        <f t="shared" si="1"/>
        <v>49</v>
      </c>
      <c r="D23" s="28">
        <f t="shared" si="25"/>
        <v>611693.66518938611</v>
      </c>
      <c r="E23" s="28">
        <f t="shared" si="26"/>
        <v>758394.60362964496</v>
      </c>
      <c r="F23" s="28">
        <f t="shared" si="27"/>
        <v>1045220.9226075773</v>
      </c>
      <c r="G23" s="35">
        <f t="shared" si="2"/>
        <v>2.4000000000000007E-2</v>
      </c>
      <c r="H23" s="35">
        <f t="shared" si="3"/>
        <v>0.06</v>
      </c>
      <c r="I23" s="35">
        <f t="shared" si="4"/>
        <v>9.600000000000003E-2</v>
      </c>
      <c r="J23" s="28">
        <f t="shared" si="28"/>
        <v>180998.11437003713</v>
      </c>
      <c r="K23" s="28">
        <f t="shared" si="29"/>
        <v>836578.31133251253</v>
      </c>
      <c r="L23" s="28">
        <f t="shared" si="30"/>
        <v>3411437.0542147546</v>
      </c>
      <c r="M23" s="28">
        <f t="shared" si="5"/>
        <v>180998.11437003713</v>
      </c>
      <c r="N23" s="28">
        <f t="shared" si="6"/>
        <v>836578.31133251253</v>
      </c>
      <c r="O23" s="28">
        <f t="shared" si="7"/>
        <v>3411437.0542147546</v>
      </c>
      <c r="P23" s="54">
        <f t="shared" si="31"/>
        <v>1.1476499616800482</v>
      </c>
      <c r="Q23" s="54">
        <f t="shared" si="32"/>
        <v>0.68976992581039476</v>
      </c>
      <c r="R23" s="54">
        <f t="shared" si="33"/>
        <v>0.51876055805579335</v>
      </c>
      <c r="S23" s="28">
        <f t="shared" si="8"/>
        <v>207722.47902093409</v>
      </c>
      <c r="T23" s="28">
        <f t="shared" si="9"/>
        <v>577046.55974241253</v>
      </c>
      <c r="U23" s="28">
        <f t="shared" si="10"/>
        <v>1769718.9900166579</v>
      </c>
      <c r="V23" s="28">
        <f t="shared" si="11"/>
        <v>819416.1442103202</v>
      </c>
      <c r="W23" s="28">
        <f t="shared" si="12"/>
        <v>1335441.1633720575</v>
      </c>
      <c r="X23" s="28">
        <f t="shared" si="13"/>
        <v>2814939.9126242353</v>
      </c>
      <c r="Y23" s="28">
        <f t="shared" si="34"/>
        <v>804020.19469264941</v>
      </c>
      <c r="Z23" s="28">
        <f t="shared" si="35"/>
        <v>995187.56024180551</v>
      </c>
      <c r="AA23" s="28">
        <f t="shared" si="36"/>
        <v>1368300.0513973767</v>
      </c>
      <c r="AB23" s="28">
        <f t="shared" si="14"/>
        <v>1335441.1633720575</v>
      </c>
      <c r="AC23" s="28">
        <f t="shared" si="15"/>
        <v>995187.56024180551</v>
      </c>
      <c r="AD23" s="39">
        <f t="shared" si="16"/>
        <v>1</v>
      </c>
      <c r="AE23" s="39">
        <f t="shared" si="17"/>
        <v>1</v>
      </c>
      <c r="AF23" s="39">
        <f t="shared" si="18"/>
        <v>0</v>
      </c>
      <c r="AG23" s="39">
        <f t="shared" si="19"/>
        <v>1</v>
      </c>
      <c r="AH23" s="39">
        <f t="shared" si="20"/>
        <v>1</v>
      </c>
      <c r="AI23" s="39">
        <f t="shared" si="21"/>
        <v>0</v>
      </c>
      <c r="AJ23" s="39">
        <f t="shared" si="22"/>
        <v>1</v>
      </c>
      <c r="AK23" s="39">
        <f t="shared" si="23"/>
        <v>1</v>
      </c>
    </row>
    <row r="24" spans="1:37" x14ac:dyDescent="0.25">
      <c r="A24" s="39">
        <f t="shared" si="24"/>
        <v>20</v>
      </c>
      <c r="B24" s="39">
        <f t="shared" si="0"/>
        <v>2046</v>
      </c>
      <c r="C24" s="39">
        <f t="shared" si="1"/>
        <v>50</v>
      </c>
      <c r="D24" s="28">
        <f t="shared" si="25"/>
        <v>655623.77801130491</v>
      </c>
      <c r="E24" s="28">
        <f t="shared" si="26"/>
        <v>822626.26185952243</v>
      </c>
      <c r="F24" s="28">
        <f t="shared" si="27"/>
        <v>1154793.9916938541</v>
      </c>
      <c r="G24" s="35">
        <f t="shared" si="2"/>
        <v>2.0000000000000004E-2</v>
      </c>
      <c r="H24" s="35">
        <f t="shared" si="3"/>
        <v>4.9999999999999989E-2</v>
      </c>
      <c r="I24" s="35">
        <f t="shared" si="4"/>
        <v>8.0000000000000016E-2</v>
      </c>
      <c r="J24" s="28">
        <f t="shared" si="28"/>
        <v>184618.07665743786</v>
      </c>
      <c r="K24" s="28">
        <f t="shared" si="29"/>
        <v>878407.22689913819</v>
      </c>
      <c r="L24" s="28">
        <f t="shared" si="30"/>
        <v>3684352.0185519354</v>
      </c>
      <c r="M24" s="28">
        <f t="shared" si="5"/>
        <v>184618.07665743786</v>
      </c>
      <c r="N24" s="28">
        <f t="shared" si="6"/>
        <v>878407.22689913819</v>
      </c>
      <c r="O24" s="28">
        <f t="shared" si="7"/>
        <v>3684352.0185519354</v>
      </c>
      <c r="P24" s="54">
        <f t="shared" si="31"/>
        <v>1.1768995351658547</v>
      </c>
      <c r="Q24" s="54">
        <f t="shared" si="32"/>
        <v>0.69591741621648184</v>
      </c>
      <c r="R24" s="54">
        <f t="shared" si="33"/>
        <v>0.52022621605286024</v>
      </c>
      <c r="S24" s="28">
        <f t="shared" si="8"/>
        <v>217276.92860135276</v>
      </c>
      <c r="T24" s="28">
        <f t="shared" si="9"/>
        <v>611298.88772953313</v>
      </c>
      <c r="U24" s="28">
        <f t="shared" si="10"/>
        <v>1916696.5092179908</v>
      </c>
      <c r="V24" s="28">
        <f t="shared" si="11"/>
        <v>872900.70661265764</v>
      </c>
      <c r="W24" s="28">
        <f t="shared" si="12"/>
        <v>1433925.1495890557</v>
      </c>
      <c r="X24" s="28">
        <f t="shared" si="13"/>
        <v>3071490.5009118449</v>
      </c>
      <c r="Y24" s="28">
        <f t="shared" si="34"/>
        <v>862069.11018538277</v>
      </c>
      <c r="Z24" s="28">
        <f t="shared" si="35"/>
        <v>1079816.1057237864</v>
      </c>
      <c r="AA24" s="28">
        <f t="shared" si="36"/>
        <v>1512134.8559888755</v>
      </c>
      <c r="AB24" s="28">
        <f t="shared" si="14"/>
        <v>1433925.1495890557</v>
      </c>
      <c r="AC24" s="28">
        <f t="shared" si="15"/>
        <v>1079816.1057237864</v>
      </c>
      <c r="AD24" s="39">
        <f t="shared" si="16"/>
        <v>1</v>
      </c>
      <c r="AE24" s="39">
        <f t="shared" si="17"/>
        <v>1</v>
      </c>
      <c r="AF24" s="39">
        <f t="shared" si="18"/>
        <v>0</v>
      </c>
      <c r="AG24" s="39">
        <f t="shared" si="19"/>
        <v>1</v>
      </c>
      <c r="AH24" s="39">
        <f t="shared" si="20"/>
        <v>1</v>
      </c>
      <c r="AI24" s="39">
        <f t="shared" si="21"/>
        <v>0</v>
      </c>
      <c r="AJ24" s="39">
        <f t="shared" si="22"/>
        <v>1</v>
      </c>
      <c r="AK24" s="39">
        <f t="shared" si="23"/>
        <v>1</v>
      </c>
    </row>
    <row r="25" spans="1:37" x14ac:dyDescent="0.25">
      <c r="A25" s="39">
        <f t="shared" si="24"/>
        <v>21</v>
      </c>
      <c r="B25" s="39">
        <f t="shared" si="0"/>
        <v>2047</v>
      </c>
      <c r="C25" s="39">
        <f t="shared" si="1"/>
        <v>51</v>
      </c>
      <c r="D25" s="28">
        <f t="shared" si="25"/>
        <v>701545.38928115065</v>
      </c>
      <c r="E25" s="28">
        <f t="shared" si="26"/>
        <v>890925.92511062545</v>
      </c>
      <c r="F25" s="28">
        <f t="shared" si="27"/>
        <v>1274155.5882851717</v>
      </c>
      <c r="G25" s="35">
        <f t="shared" si="2"/>
        <v>2.0000000000000004E-2</v>
      </c>
      <c r="H25" s="35">
        <f t="shared" si="3"/>
        <v>4.9999999999999989E-2</v>
      </c>
      <c r="I25" s="35">
        <f t="shared" si="4"/>
        <v>8.0000000000000016E-2</v>
      </c>
      <c r="J25" s="28">
        <f t="shared" si="28"/>
        <v>188310.43819058663</v>
      </c>
      <c r="K25" s="28">
        <f t="shared" si="29"/>
        <v>922327.5882440951</v>
      </c>
      <c r="L25" s="28">
        <f t="shared" si="30"/>
        <v>3979100.1800360903</v>
      </c>
      <c r="M25" s="28">
        <f t="shared" si="5"/>
        <v>188310.43819058663</v>
      </c>
      <c r="N25" s="28">
        <f t="shared" si="6"/>
        <v>922327.5882440951</v>
      </c>
      <c r="O25" s="28">
        <f t="shared" si="7"/>
        <v>3979100.1800360903</v>
      </c>
      <c r="P25" s="54">
        <f t="shared" si="31"/>
        <v>1.2055755876029199</v>
      </c>
      <c r="Q25" s="54">
        <f t="shared" si="32"/>
        <v>0.70177216898418382</v>
      </c>
      <c r="R25" s="54">
        <f t="shared" si="33"/>
        <v>0.52158330679088505</v>
      </c>
      <c r="S25" s="28">
        <f t="shared" si="8"/>
        <v>227022.46717337982</v>
      </c>
      <c r="T25" s="28">
        <f t="shared" si="9"/>
        <v>647263.83211600978</v>
      </c>
      <c r="U25" s="28">
        <f t="shared" si="10"/>
        <v>2075432.2299554299</v>
      </c>
      <c r="V25" s="28">
        <f t="shared" si="11"/>
        <v>928567.8564545305</v>
      </c>
      <c r="W25" s="28">
        <f t="shared" si="12"/>
        <v>1538189.7572266352</v>
      </c>
      <c r="X25" s="28">
        <f t="shared" si="13"/>
        <v>3349587.8182406016</v>
      </c>
      <c r="Y25" s="28">
        <f t="shared" si="34"/>
        <v>922749.57651378668</v>
      </c>
      <c r="Z25" s="28">
        <f t="shared" si="35"/>
        <v>1169804.4590862929</v>
      </c>
      <c r="AA25" s="28">
        <f t="shared" si="36"/>
        <v>1668818.9031238817</v>
      </c>
      <c r="AB25" s="28">
        <f t="shared" si="14"/>
        <v>1538189.7572266352</v>
      </c>
      <c r="AC25" s="28">
        <f t="shared" si="15"/>
        <v>1169804.4590862929</v>
      </c>
      <c r="AD25" s="39">
        <f t="shared" si="16"/>
        <v>1</v>
      </c>
      <c r="AE25" s="39">
        <f t="shared" si="17"/>
        <v>1</v>
      </c>
      <c r="AF25" s="39">
        <f t="shared" si="18"/>
        <v>1</v>
      </c>
      <c r="AG25" s="39">
        <f t="shared" si="19"/>
        <v>1</v>
      </c>
      <c r="AH25" s="39">
        <f t="shared" si="20"/>
        <v>1</v>
      </c>
      <c r="AI25" s="39">
        <f t="shared" si="21"/>
        <v>1</v>
      </c>
      <c r="AJ25" s="39">
        <f t="shared" si="22"/>
        <v>1</v>
      </c>
      <c r="AK25" s="39">
        <f t="shared" si="23"/>
        <v>1</v>
      </c>
    </row>
    <row r="26" spans="1:37" x14ac:dyDescent="0.25">
      <c r="A26" s="39">
        <f t="shared" si="24"/>
        <v>22</v>
      </c>
      <c r="B26" s="39">
        <f t="shared" si="0"/>
        <v>2048</v>
      </c>
      <c r="C26" s="39">
        <f t="shared" si="1"/>
        <v>52</v>
      </c>
      <c r="D26" s="28">
        <f t="shared" si="25"/>
        <v>749548.78026189608</v>
      </c>
      <c r="E26" s="28">
        <f t="shared" si="26"/>
        <v>963551.23370096495</v>
      </c>
      <c r="F26" s="28">
        <f t="shared" si="27"/>
        <v>1404180.1541719802</v>
      </c>
      <c r="G26" s="35">
        <f t="shared" si="2"/>
        <v>2.0000000000000004E-2</v>
      </c>
      <c r="H26" s="35">
        <f t="shared" si="3"/>
        <v>4.9999999999999989E-2</v>
      </c>
      <c r="I26" s="35">
        <f t="shared" si="4"/>
        <v>8.0000000000000016E-2</v>
      </c>
      <c r="J26" s="28">
        <f t="shared" si="28"/>
        <v>192076.64695439837</v>
      </c>
      <c r="K26" s="28">
        <f t="shared" si="29"/>
        <v>968443.96765629994</v>
      </c>
      <c r="L26" s="28">
        <f t="shared" si="30"/>
        <v>4297428.1944389781</v>
      </c>
      <c r="M26" s="28">
        <f t="shared" si="5"/>
        <v>192076.64695439837</v>
      </c>
      <c r="N26" s="28">
        <f t="shared" si="6"/>
        <v>968443.96765629994</v>
      </c>
      <c r="O26" s="28">
        <f t="shared" si="7"/>
        <v>4297428.1944389781</v>
      </c>
      <c r="P26" s="54">
        <f t="shared" si="31"/>
        <v>1.2336893645020035</v>
      </c>
      <c r="Q26" s="54">
        <f t="shared" si="32"/>
        <v>0.70734812400104286</v>
      </c>
      <c r="R26" s="54">
        <f t="shared" si="33"/>
        <v>0.52283987228905626</v>
      </c>
      <c r="S26" s="28">
        <f t="shared" si="8"/>
        <v>236962.91651684741</v>
      </c>
      <c r="T26" s="28">
        <f t="shared" si="9"/>
        <v>685027.02372181043</v>
      </c>
      <c r="U26" s="28">
        <f t="shared" si="10"/>
        <v>2246866.808351865</v>
      </c>
      <c r="V26" s="28">
        <f t="shared" si="11"/>
        <v>986511.69677874353</v>
      </c>
      <c r="W26" s="28">
        <f t="shared" si="12"/>
        <v>1648578.2574227755</v>
      </c>
      <c r="X26" s="28">
        <f t="shared" si="13"/>
        <v>3651046.962523845</v>
      </c>
      <c r="Y26" s="28">
        <f t="shared" si="34"/>
        <v>986180.8906490783</v>
      </c>
      <c r="Z26" s="28">
        <f t="shared" si="35"/>
        <v>1265492.0748284247</v>
      </c>
      <c r="AA26" s="28">
        <f t="shared" si="36"/>
        <v>1839500.0584696149</v>
      </c>
      <c r="AB26" s="28">
        <f t="shared" si="14"/>
        <v>1648578.2574227755</v>
      </c>
      <c r="AC26" s="28">
        <f t="shared" si="15"/>
        <v>1265492.0748284247</v>
      </c>
      <c r="AD26" s="39">
        <f t="shared" si="16"/>
        <v>1</v>
      </c>
      <c r="AE26" s="39">
        <f t="shared" si="17"/>
        <v>1</v>
      </c>
      <c r="AF26" s="39">
        <f t="shared" si="18"/>
        <v>1</v>
      </c>
      <c r="AG26" s="39">
        <f t="shared" si="19"/>
        <v>1</v>
      </c>
      <c r="AH26" s="39">
        <f t="shared" si="20"/>
        <v>1</v>
      </c>
      <c r="AI26" s="39">
        <f t="shared" si="21"/>
        <v>1</v>
      </c>
      <c r="AJ26" s="39">
        <f t="shared" si="22"/>
        <v>1</v>
      </c>
      <c r="AK26" s="39">
        <f t="shared" si="23"/>
        <v>1</v>
      </c>
    </row>
    <row r="27" spans="1:37" x14ac:dyDescent="0.25">
      <c r="A27" s="39">
        <f t="shared" si="24"/>
        <v>23</v>
      </c>
      <c r="B27" s="39">
        <f t="shared" si="0"/>
        <v>2049</v>
      </c>
      <c r="C27" s="39">
        <f t="shared" si="1"/>
        <v>53</v>
      </c>
      <c r="D27" s="28">
        <f t="shared" si="25"/>
        <v>799728.32496710191</v>
      </c>
      <c r="E27" s="28">
        <f t="shared" si="26"/>
        <v>1040776.1451686927</v>
      </c>
      <c r="F27" s="28">
        <f t="shared" si="27"/>
        <v>1545820.247944677</v>
      </c>
      <c r="G27" s="35">
        <f t="shared" si="2"/>
        <v>2.0000000000000004E-2</v>
      </c>
      <c r="H27" s="35">
        <f t="shared" si="3"/>
        <v>4.9999999999999989E-2</v>
      </c>
      <c r="I27" s="35">
        <f t="shared" si="4"/>
        <v>8.0000000000000016E-2</v>
      </c>
      <c r="J27" s="28">
        <f t="shared" si="28"/>
        <v>195918.17989348635</v>
      </c>
      <c r="K27" s="28">
        <f t="shared" si="29"/>
        <v>1016866.1660391149</v>
      </c>
      <c r="L27" s="28">
        <f t="shared" si="30"/>
        <v>4641222.4499940965</v>
      </c>
      <c r="M27" s="28">
        <f t="shared" si="5"/>
        <v>195918.17989348635</v>
      </c>
      <c r="N27" s="28">
        <f t="shared" si="6"/>
        <v>1016866.1660391149</v>
      </c>
      <c r="O27" s="28">
        <f t="shared" si="7"/>
        <v>4641222.4499940965</v>
      </c>
      <c r="P27" s="54">
        <f t="shared" si="31"/>
        <v>1.2612518908736541</v>
      </c>
      <c r="Q27" s="54">
        <f t="shared" si="32"/>
        <v>0.71265855735043238</v>
      </c>
      <c r="R27" s="54">
        <f t="shared" si="33"/>
        <v>0.52400335886143701</v>
      </c>
      <c r="S27" s="28">
        <f t="shared" si="8"/>
        <v>247102.17484718436</v>
      </c>
      <c r="T27" s="28">
        <f t="shared" si="9"/>
        <v>724678.37490790093</v>
      </c>
      <c r="U27" s="28">
        <f t="shared" si="10"/>
        <v>2432016.1530200145</v>
      </c>
      <c r="V27" s="28">
        <f t="shared" si="11"/>
        <v>1046830.4998142862</v>
      </c>
      <c r="W27" s="28">
        <f t="shared" si="12"/>
        <v>1765454.5200765936</v>
      </c>
      <c r="X27" s="28">
        <f t="shared" si="13"/>
        <v>3977836.4009646913</v>
      </c>
      <c r="Y27" s="28">
        <f t="shared" si="34"/>
        <v>1052487.7576918365</v>
      </c>
      <c r="Z27" s="28">
        <f t="shared" si="35"/>
        <v>1367239.9062342248</v>
      </c>
      <c r="AA27" s="28">
        <f t="shared" si="36"/>
        <v>2025428.7303595671</v>
      </c>
      <c r="AB27" s="28">
        <f t="shared" si="14"/>
        <v>1765454.5200765936</v>
      </c>
      <c r="AC27" s="28">
        <f t="shared" si="15"/>
        <v>1367239.9062342248</v>
      </c>
      <c r="AD27" s="39">
        <f t="shared" si="16"/>
        <v>1</v>
      </c>
      <c r="AE27" s="39">
        <f t="shared" si="17"/>
        <v>1</v>
      </c>
      <c r="AF27" s="39">
        <f t="shared" si="18"/>
        <v>1</v>
      </c>
      <c r="AG27" s="39">
        <f t="shared" si="19"/>
        <v>1</v>
      </c>
      <c r="AH27" s="39">
        <f t="shared" si="20"/>
        <v>1</v>
      </c>
      <c r="AI27" s="39">
        <f t="shared" si="21"/>
        <v>1</v>
      </c>
      <c r="AJ27" s="39">
        <f t="shared" si="22"/>
        <v>1</v>
      </c>
      <c r="AK27" s="39">
        <f t="shared" si="23"/>
        <v>1</v>
      </c>
    </row>
    <row r="28" spans="1:37" x14ac:dyDescent="0.25">
      <c r="A28" s="39">
        <f t="shared" si="24"/>
        <v>24</v>
      </c>
      <c r="B28" s="39">
        <f t="shared" si="0"/>
        <v>2050</v>
      </c>
      <c r="C28" s="39">
        <f t="shared" si="1"/>
        <v>54</v>
      </c>
      <c r="D28" s="28">
        <f t="shared" si="25"/>
        <v>852182.67569894379</v>
      </c>
      <c r="E28" s="28">
        <f t="shared" si="26"/>
        <v>1122891.9676960432</v>
      </c>
      <c r="F28" s="28">
        <f t="shared" si="27"/>
        <v>1700113.5234277346</v>
      </c>
      <c r="G28" s="35">
        <f t="shared" si="2"/>
        <v>2.0000000000000004E-2</v>
      </c>
      <c r="H28" s="35">
        <f t="shared" si="3"/>
        <v>4.9999999999999989E-2</v>
      </c>
      <c r="I28" s="35">
        <f t="shared" si="4"/>
        <v>8.0000000000000016E-2</v>
      </c>
      <c r="J28" s="28">
        <f t="shared" si="28"/>
        <v>199836.54349135607</v>
      </c>
      <c r="K28" s="28">
        <f t="shared" si="29"/>
        <v>1067709.4743410707</v>
      </c>
      <c r="L28" s="28">
        <f t="shared" si="30"/>
        <v>5012520.2459936244</v>
      </c>
      <c r="M28" s="28">
        <f t="shared" si="5"/>
        <v>199836.54349135607</v>
      </c>
      <c r="N28" s="28">
        <f t="shared" si="6"/>
        <v>1067709.4743410707</v>
      </c>
      <c r="O28" s="28">
        <f t="shared" si="7"/>
        <v>5012520.2459936244</v>
      </c>
      <c r="P28" s="54">
        <f t="shared" si="31"/>
        <v>1.2882739755517429</v>
      </c>
      <c r="Q28" s="54">
        <f t="shared" si="32"/>
        <v>0.71771611292127957</v>
      </c>
      <c r="R28" s="54">
        <f t="shared" si="33"/>
        <v>0.52508066124327102</v>
      </c>
      <c r="S28" s="28">
        <f t="shared" si="8"/>
        <v>257444.21834412808</v>
      </c>
      <c r="T28" s="28">
        <f t="shared" si="9"/>
        <v>766312.29365329596</v>
      </c>
      <c r="U28" s="28">
        <f t="shared" si="10"/>
        <v>2631977.4452616158</v>
      </c>
      <c r="V28" s="28">
        <f t="shared" si="11"/>
        <v>1109626.8940430719</v>
      </c>
      <c r="W28" s="28">
        <f t="shared" si="12"/>
        <v>1889204.261349339</v>
      </c>
      <c r="X28" s="28">
        <f t="shared" si="13"/>
        <v>4332090.9686893504</v>
      </c>
      <c r="Y28" s="28">
        <f t="shared" si="34"/>
        <v>1121800.5360405329</v>
      </c>
      <c r="Z28" s="28">
        <f t="shared" si="35"/>
        <v>1475431.7669623923</v>
      </c>
      <c r="AA28" s="28">
        <f t="shared" si="36"/>
        <v>2227967.0302716885</v>
      </c>
      <c r="AB28" s="28">
        <f t="shared" si="14"/>
        <v>1889204.261349339</v>
      </c>
      <c r="AC28" s="28">
        <f t="shared" si="15"/>
        <v>1475431.7669623923</v>
      </c>
      <c r="AD28" s="39">
        <f t="shared" si="16"/>
        <v>1</v>
      </c>
      <c r="AE28" s="39">
        <f t="shared" si="17"/>
        <v>1</v>
      </c>
      <c r="AF28" s="39">
        <f t="shared" si="18"/>
        <v>1</v>
      </c>
      <c r="AG28" s="39">
        <f t="shared" si="19"/>
        <v>1</v>
      </c>
      <c r="AH28" s="39">
        <f t="shared" si="20"/>
        <v>1</v>
      </c>
      <c r="AI28" s="39">
        <f t="shared" si="21"/>
        <v>1</v>
      </c>
      <c r="AJ28" s="39">
        <f t="shared" si="22"/>
        <v>1</v>
      </c>
      <c r="AK28" s="39">
        <f t="shared" si="23"/>
        <v>1</v>
      </c>
    </row>
    <row r="29" spans="1:37" x14ac:dyDescent="0.25">
      <c r="A29" s="39">
        <f t="shared" si="24"/>
        <v>25</v>
      </c>
      <c r="B29" s="39">
        <f t="shared" si="0"/>
        <v>2051</v>
      </c>
      <c r="C29" s="39">
        <f t="shared" si="1"/>
        <v>55</v>
      </c>
      <c r="D29" s="28">
        <f t="shared" si="25"/>
        <v>907014.95699729584</v>
      </c>
      <c r="E29" s="28">
        <f t="shared" si="26"/>
        <v>1210208.4589834593</v>
      </c>
      <c r="F29" s="28">
        <f t="shared" si="27"/>
        <v>1868190.3315206121</v>
      </c>
      <c r="G29" s="35">
        <f t="shared" si="2"/>
        <v>2.0000000000000004E-2</v>
      </c>
      <c r="H29" s="35">
        <f t="shared" si="3"/>
        <v>4.9999999999999989E-2</v>
      </c>
      <c r="I29" s="35">
        <f t="shared" si="4"/>
        <v>8.0000000000000016E-2</v>
      </c>
      <c r="J29" s="28">
        <f t="shared" si="28"/>
        <v>203833.2743611832</v>
      </c>
      <c r="K29" s="28">
        <f t="shared" si="29"/>
        <v>1121094.9480581244</v>
      </c>
      <c r="L29" s="28">
        <f t="shared" si="30"/>
        <v>5413521.8656731145</v>
      </c>
      <c r="M29" s="28">
        <f t="shared" si="5"/>
        <v>203833.2743611832</v>
      </c>
      <c r="N29" s="28">
        <f t="shared" si="6"/>
        <v>1121094.9480581244</v>
      </c>
      <c r="O29" s="28">
        <f t="shared" si="7"/>
        <v>5413521.8656731145</v>
      </c>
      <c r="P29" s="54">
        <f t="shared" si="31"/>
        <v>1.3147662154322222</v>
      </c>
      <c r="Q29" s="54">
        <f t="shared" si="32"/>
        <v>0.72253283251256262</v>
      </c>
      <c r="R29" s="54">
        <f t="shared" si="33"/>
        <v>0.52607816344867286</v>
      </c>
      <c r="S29" s="28">
        <f t="shared" si="8"/>
        <v>267993.10271101061</v>
      </c>
      <c r="T29" s="28">
        <f t="shared" si="9"/>
        <v>810027.90833596094</v>
      </c>
      <c r="U29" s="28">
        <f t="shared" si="10"/>
        <v>2847935.6408825452</v>
      </c>
      <c r="V29" s="28">
        <f t="shared" si="11"/>
        <v>1175008.0597083066</v>
      </c>
      <c r="W29" s="28">
        <f t="shared" si="12"/>
        <v>2020236.3673194202</v>
      </c>
      <c r="X29" s="28">
        <f t="shared" si="13"/>
        <v>4716125.9724031575</v>
      </c>
      <c r="Y29" s="28">
        <f t="shared" si="34"/>
        <v>1194255.4936743702</v>
      </c>
      <c r="Z29" s="28">
        <f t="shared" si="35"/>
        <v>1590475.7788700103</v>
      </c>
      <c r="AA29" s="28">
        <f t="shared" si="36"/>
        <v>2448598.7516426258</v>
      </c>
      <c r="AB29" s="28">
        <f t="shared" si="14"/>
        <v>2020236.3673194202</v>
      </c>
      <c r="AC29" s="28">
        <f t="shared" si="15"/>
        <v>1590475.7788700103</v>
      </c>
      <c r="AD29" s="39">
        <f t="shared" si="16"/>
        <v>1</v>
      </c>
      <c r="AE29" s="39">
        <f t="shared" si="17"/>
        <v>1</v>
      </c>
      <c r="AF29" s="39">
        <f t="shared" si="18"/>
        <v>1</v>
      </c>
      <c r="AG29" s="39">
        <f t="shared" si="19"/>
        <v>1</v>
      </c>
      <c r="AH29" s="39">
        <f t="shared" si="20"/>
        <v>1</v>
      </c>
      <c r="AI29" s="39">
        <f t="shared" si="21"/>
        <v>1</v>
      </c>
      <c r="AJ29" s="39">
        <f t="shared" si="22"/>
        <v>1</v>
      </c>
      <c r="AK29" s="39">
        <f t="shared" si="23"/>
        <v>1</v>
      </c>
    </row>
    <row r="30" spans="1:37" x14ac:dyDescent="0.25">
      <c r="A30" s="39">
        <f t="shared" si="24"/>
        <v>26</v>
      </c>
      <c r="B30" s="39">
        <f t="shared" si="0"/>
        <v>2052</v>
      </c>
      <c r="C30" s="39">
        <f t="shared" si="1"/>
        <v>56</v>
      </c>
      <c r="D30" s="28">
        <f t="shared" si="25"/>
        <v>964332.96838117321</v>
      </c>
      <c r="E30" s="28">
        <f t="shared" si="26"/>
        <v>1303054.9947190783</v>
      </c>
      <c r="F30" s="28">
        <f t="shared" si="27"/>
        <v>2051282.0011364534</v>
      </c>
      <c r="G30" s="35">
        <f t="shared" si="2"/>
        <v>2.0000000000000004E-2</v>
      </c>
      <c r="H30" s="35">
        <f t="shared" si="3"/>
        <v>4.9999999999999989E-2</v>
      </c>
      <c r="I30" s="35">
        <f t="shared" si="4"/>
        <v>8.0000000000000016E-2</v>
      </c>
      <c r="J30" s="28">
        <f t="shared" si="28"/>
        <v>207909.93984840685</v>
      </c>
      <c r="K30" s="28">
        <f t="shared" si="29"/>
        <v>1177149.6954610306</v>
      </c>
      <c r="L30" s="28">
        <f t="shared" si="30"/>
        <v>5846603.614926964</v>
      </c>
      <c r="M30" s="28">
        <f t="shared" si="5"/>
        <v>207909.93984840685</v>
      </c>
      <c r="N30" s="28">
        <f t="shared" si="6"/>
        <v>1177149.6954610306</v>
      </c>
      <c r="O30" s="28">
        <f t="shared" si="7"/>
        <v>5846603.614926964</v>
      </c>
      <c r="P30" s="54">
        <f t="shared" si="31"/>
        <v>1.3407389996287704</v>
      </c>
      <c r="Q30" s="54">
        <f t="shared" si="32"/>
        <v>0.72712018450426075</v>
      </c>
      <c r="R30" s="54">
        <f t="shared" si="33"/>
        <v>0.52700177660182268</v>
      </c>
      <c r="S30" s="28">
        <f t="shared" si="8"/>
        <v>278752.96476523083</v>
      </c>
      <c r="T30" s="28">
        <f t="shared" si="9"/>
        <v>855929.30375275889</v>
      </c>
      <c r="U30" s="28">
        <f t="shared" si="10"/>
        <v>3081170.4921531486</v>
      </c>
      <c r="V30" s="28">
        <f t="shared" si="11"/>
        <v>1243085.9331464041</v>
      </c>
      <c r="W30" s="28">
        <f t="shared" si="12"/>
        <v>2158984.2984718373</v>
      </c>
      <c r="X30" s="28">
        <f t="shared" si="13"/>
        <v>5132452.493289602</v>
      </c>
      <c r="Y30" s="28">
        <f t="shared" si="34"/>
        <v>1269995.0760542748</v>
      </c>
      <c r="Z30" s="28">
        <f t="shared" si="35"/>
        <v>1712805.9115317774</v>
      </c>
      <c r="AA30" s="28">
        <f t="shared" si="36"/>
        <v>2688940.2401227001</v>
      </c>
      <c r="AB30" s="28">
        <f t="shared" si="14"/>
        <v>2158984.2984718373</v>
      </c>
      <c r="AC30" s="28">
        <f t="shared" si="15"/>
        <v>1712805.9115317774</v>
      </c>
      <c r="AD30" s="39">
        <f t="shared" si="16"/>
        <v>1</v>
      </c>
      <c r="AE30" s="39">
        <f t="shared" si="17"/>
        <v>1</v>
      </c>
      <c r="AF30" s="39">
        <f t="shared" si="18"/>
        <v>1</v>
      </c>
      <c r="AG30" s="39">
        <f t="shared" si="19"/>
        <v>1</v>
      </c>
      <c r="AH30" s="39">
        <f t="shared" si="20"/>
        <v>1</v>
      </c>
      <c r="AI30" s="39">
        <f t="shared" si="21"/>
        <v>1</v>
      </c>
      <c r="AJ30" s="39">
        <f t="shared" si="22"/>
        <v>1</v>
      </c>
      <c r="AK30" s="39">
        <f t="shared" si="23"/>
        <v>1</v>
      </c>
    </row>
    <row r="31" spans="1:37" x14ac:dyDescent="0.25">
      <c r="A31" s="39">
        <f t="shared" si="24"/>
        <v>27</v>
      </c>
      <c r="B31" s="39">
        <f t="shared" si="0"/>
        <v>2053</v>
      </c>
      <c r="C31" s="39">
        <f t="shared" si="1"/>
        <v>57</v>
      </c>
      <c r="D31" s="28">
        <f t="shared" si="25"/>
        <v>1024249.3962811197</v>
      </c>
      <c r="E31" s="28">
        <f t="shared" si="26"/>
        <v>1401781.8110512865</v>
      </c>
      <c r="F31" s="28">
        <f t="shared" si="27"/>
        <v>2250729.8599046431</v>
      </c>
      <c r="G31" s="35">
        <f t="shared" si="2"/>
        <v>2.0000000000000004E-2</v>
      </c>
      <c r="H31" s="35">
        <f t="shared" si="3"/>
        <v>4.9999999999999989E-2</v>
      </c>
      <c r="I31" s="35">
        <f t="shared" si="4"/>
        <v>8.0000000000000016E-2</v>
      </c>
      <c r="J31" s="28">
        <f t="shared" si="28"/>
        <v>212068.138645375</v>
      </c>
      <c r="K31" s="28">
        <f t="shared" si="29"/>
        <v>1236007.1802340823</v>
      </c>
      <c r="L31" s="28">
        <f t="shared" si="30"/>
        <v>6314331.9041211214</v>
      </c>
      <c r="M31" s="28">
        <f t="shared" si="5"/>
        <v>212068.138645375</v>
      </c>
      <c r="N31" s="28">
        <f t="shared" si="6"/>
        <v>1236007.1802340823</v>
      </c>
      <c r="O31" s="28">
        <f t="shared" si="7"/>
        <v>6314331.9041211214</v>
      </c>
      <c r="P31" s="54">
        <f t="shared" si="31"/>
        <v>1.3662025135469549</v>
      </c>
      <c r="Q31" s="54">
        <f t="shared" si="32"/>
        <v>0.73148909116302085</v>
      </c>
      <c r="R31" s="54">
        <f t="shared" si="33"/>
        <v>0.5278569739658503</v>
      </c>
      <c r="S31" s="28">
        <f t="shared" si="8"/>
        <v>289728.02406053542</v>
      </c>
      <c r="T31" s="28">
        <f t="shared" si="9"/>
        <v>904125.76894039696</v>
      </c>
      <c r="U31" s="28">
        <f t="shared" si="10"/>
        <v>3333064.1315254006</v>
      </c>
      <c r="V31" s="28">
        <f t="shared" si="11"/>
        <v>1313977.4203416551</v>
      </c>
      <c r="W31" s="28">
        <f t="shared" si="12"/>
        <v>2305907.5799916834</v>
      </c>
      <c r="X31" s="28">
        <f t="shared" si="13"/>
        <v>5583793.9914300442</v>
      </c>
      <c r="Y31" s="28">
        <f t="shared" si="34"/>
        <v>1349168.1861687351</v>
      </c>
      <c r="Z31" s="28">
        <f t="shared" si="35"/>
        <v>1842883.619262123</v>
      </c>
      <c r="AA31" s="28">
        <f t="shared" si="36"/>
        <v>2950752.2349069943</v>
      </c>
      <c r="AB31" s="28">
        <f t="shared" si="14"/>
        <v>2305907.5799916834</v>
      </c>
      <c r="AC31" s="28">
        <f t="shared" si="15"/>
        <v>1842883.619262123</v>
      </c>
      <c r="AD31" s="39">
        <f t="shared" si="16"/>
        <v>1</v>
      </c>
      <c r="AE31" s="39">
        <f t="shared" si="17"/>
        <v>1</v>
      </c>
      <c r="AF31" s="39">
        <f t="shared" si="18"/>
        <v>1</v>
      </c>
      <c r="AG31" s="39">
        <f t="shared" si="19"/>
        <v>1</v>
      </c>
      <c r="AH31" s="39">
        <f t="shared" si="20"/>
        <v>1</v>
      </c>
      <c r="AI31" s="39">
        <f t="shared" si="21"/>
        <v>1</v>
      </c>
      <c r="AJ31" s="39">
        <f t="shared" si="22"/>
        <v>1</v>
      </c>
      <c r="AK31" s="39">
        <f t="shared" si="23"/>
        <v>1</v>
      </c>
    </row>
    <row r="32" spans="1:37" x14ac:dyDescent="0.25">
      <c r="A32" s="39">
        <f t="shared" si="24"/>
        <v>28</v>
      </c>
      <c r="B32" s="39">
        <f t="shared" si="0"/>
        <v>2054</v>
      </c>
      <c r="C32" s="39">
        <f t="shared" si="1"/>
        <v>58</v>
      </c>
      <c r="D32" s="28">
        <f t="shared" si="25"/>
        <v>1086882.0355791969</v>
      </c>
      <c r="E32" s="28">
        <f t="shared" si="26"/>
        <v>1506761.3257512012</v>
      </c>
      <c r="F32" s="28">
        <f t="shared" si="27"/>
        <v>2467995.0607227911</v>
      </c>
      <c r="G32" s="35">
        <f t="shared" si="2"/>
        <v>2.0000000000000004E-2</v>
      </c>
      <c r="H32" s="35">
        <f t="shared" si="3"/>
        <v>4.9999999999999989E-2</v>
      </c>
      <c r="I32" s="35">
        <f t="shared" si="4"/>
        <v>8.0000000000000016E-2</v>
      </c>
      <c r="J32" s="28">
        <f t="shared" si="28"/>
        <v>216309.50141828251</v>
      </c>
      <c r="K32" s="28">
        <f t="shared" si="29"/>
        <v>1297807.5392457864</v>
      </c>
      <c r="L32" s="28">
        <f t="shared" si="30"/>
        <v>6819478.4564508116</v>
      </c>
      <c r="M32" s="28">
        <f t="shared" si="5"/>
        <v>216309.50141828251</v>
      </c>
      <c r="N32" s="28">
        <f t="shared" si="6"/>
        <v>1297807.5392457864</v>
      </c>
      <c r="O32" s="28">
        <f t="shared" si="7"/>
        <v>6819478.4564508116</v>
      </c>
      <c r="P32" s="54">
        <f t="shared" si="31"/>
        <v>1.3911667428785084</v>
      </c>
      <c r="Q32" s="54">
        <f t="shared" si="32"/>
        <v>0.73564995464755434</v>
      </c>
      <c r="R32" s="54">
        <f t="shared" si="33"/>
        <v>0.52864882337698704</v>
      </c>
      <c r="S32" s="28">
        <f t="shared" si="8"/>
        <v>300922.58454174618</v>
      </c>
      <c r="T32" s="28">
        <f t="shared" si="9"/>
        <v>954732.05738741683</v>
      </c>
      <c r="U32" s="28">
        <f t="shared" si="10"/>
        <v>3605109.2620474333</v>
      </c>
      <c r="V32" s="28">
        <f t="shared" si="11"/>
        <v>1387804.6201209431</v>
      </c>
      <c r="W32" s="28">
        <f t="shared" si="12"/>
        <v>2461493.383138618</v>
      </c>
      <c r="X32" s="28">
        <f t="shared" si="13"/>
        <v>6073104.3227702249</v>
      </c>
      <c r="Y32" s="28">
        <f t="shared" si="34"/>
        <v>1431930.4772750509</v>
      </c>
      <c r="Z32" s="28">
        <f t="shared" si="35"/>
        <v>1981199.5818153906</v>
      </c>
      <c r="AA32" s="28">
        <f t="shared" si="36"/>
        <v>3235952.7678920189</v>
      </c>
      <c r="AB32" s="28">
        <f t="shared" si="14"/>
        <v>2461493.383138618</v>
      </c>
      <c r="AC32" s="28">
        <f t="shared" si="15"/>
        <v>1981199.5818153906</v>
      </c>
      <c r="AD32" s="39">
        <f t="shared" si="16"/>
        <v>1</v>
      </c>
      <c r="AE32" s="39">
        <f t="shared" si="17"/>
        <v>1</v>
      </c>
      <c r="AF32" s="39">
        <f t="shared" si="18"/>
        <v>1</v>
      </c>
      <c r="AG32" s="39">
        <f t="shared" si="19"/>
        <v>1</v>
      </c>
      <c r="AH32" s="39">
        <f t="shared" si="20"/>
        <v>1</v>
      </c>
      <c r="AI32" s="39">
        <f t="shared" si="21"/>
        <v>1</v>
      </c>
      <c r="AJ32" s="39">
        <f t="shared" si="22"/>
        <v>1</v>
      </c>
      <c r="AK32" s="39">
        <f t="shared" si="23"/>
        <v>1</v>
      </c>
    </row>
    <row r="33" spans="1:37" x14ac:dyDescent="0.25">
      <c r="A33" s="39">
        <f t="shared" si="24"/>
        <v>29</v>
      </c>
      <c r="B33" s="39">
        <f t="shared" si="0"/>
        <v>2055</v>
      </c>
      <c r="C33" s="39">
        <f t="shared" si="1"/>
        <v>59</v>
      </c>
      <c r="D33" s="28">
        <f t="shared" si="25"/>
        <v>1152354.0211921204</v>
      </c>
      <c r="E33" s="28">
        <f t="shared" si="26"/>
        <v>1618389.5430487772</v>
      </c>
      <c r="F33" s="28">
        <f t="shared" si="27"/>
        <v>2704669.2861473602</v>
      </c>
      <c r="G33" s="35">
        <f t="shared" si="2"/>
        <v>2.0000000000000004E-2</v>
      </c>
      <c r="H33" s="35">
        <f t="shared" si="3"/>
        <v>4.9999999999999989E-2</v>
      </c>
      <c r="I33" s="35">
        <f t="shared" si="4"/>
        <v>8.0000000000000016E-2</v>
      </c>
      <c r="J33" s="28">
        <f t="shared" si="28"/>
        <v>220635.69144664815</v>
      </c>
      <c r="K33" s="28">
        <f t="shared" si="29"/>
        <v>1362697.9162080758</v>
      </c>
      <c r="L33" s="28">
        <f t="shared" si="30"/>
        <v>7365036.7329668766</v>
      </c>
      <c r="M33" s="28">
        <f t="shared" si="5"/>
        <v>220635.69144664815</v>
      </c>
      <c r="N33" s="28">
        <f t="shared" si="6"/>
        <v>1362697.9162080758</v>
      </c>
      <c r="O33" s="28">
        <f t="shared" si="7"/>
        <v>7365036.7329668766</v>
      </c>
      <c r="P33" s="54">
        <f t="shared" si="31"/>
        <v>1.4156414775172863</v>
      </c>
      <c r="Q33" s="54">
        <f t="shared" si="32"/>
        <v>0.7396126817756814</v>
      </c>
      <c r="R33" s="54">
        <f t="shared" si="33"/>
        <v>0.52938201727618772</v>
      </c>
      <c r="S33" s="28">
        <f t="shared" si="8"/>
        <v>312341.03623258107</v>
      </c>
      <c r="T33" s="28">
        <f t="shared" si="9"/>
        <v>1007868.6602567878</v>
      </c>
      <c r="U33" s="28">
        <f t="shared" si="10"/>
        <v>3898918.0030112281</v>
      </c>
      <c r="V33" s="28">
        <f t="shared" si="11"/>
        <v>1464695.0574247015</v>
      </c>
      <c r="W33" s="28">
        <f t="shared" si="12"/>
        <v>2626258.2033055648</v>
      </c>
      <c r="X33" s="28">
        <f t="shared" si="13"/>
        <v>6603587.2891585883</v>
      </c>
      <c r="Y33" s="28">
        <f t="shared" si="34"/>
        <v>1518444.6589115197</v>
      </c>
      <c r="Z33" s="28">
        <f t="shared" si="35"/>
        <v>2128275.555330365</v>
      </c>
      <c r="AA33" s="28">
        <f t="shared" si="36"/>
        <v>3546631.215157039</v>
      </c>
      <c r="AB33" s="28">
        <f t="shared" si="14"/>
        <v>2626258.2033055648</v>
      </c>
      <c r="AC33" s="28">
        <f t="shared" si="15"/>
        <v>2128275.555330365</v>
      </c>
      <c r="AD33" s="39">
        <f t="shared" si="16"/>
        <v>1</v>
      </c>
      <c r="AE33" s="39">
        <f t="shared" si="17"/>
        <v>1</v>
      </c>
      <c r="AF33" s="39">
        <f t="shared" si="18"/>
        <v>1</v>
      </c>
      <c r="AG33" s="39">
        <f t="shared" si="19"/>
        <v>1</v>
      </c>
      <c r="AH33" s="39">
        <f t="shared" si="20"/>
        <v>1</v>
      </c>
      <c r="AI33" s="39">
        <f t="shared" si="21"/>
        <v>1</v>
      </c>
      <c r="AJ33" s="39">
        <f t="shared" si="22"/>
        <v>1</v>
      </c>
      <c r="AK33" s="39">
        <f t="shared" si="23"/>
        <v>1</v>
      </c>
    </row>
    <row r="34" spans="1:37" x14ac:dyDescent="0.25">
      <c r="A34" s="39">
        <f t="shared" si="24"/>
        <v>30</v>
      </c>
      <c r="B34" s="39">
        <f t="shared" si="0"/>
        <v>2056</v>
      </c>
      <c r="C34" s="39">
        <f t="shared" si="1"/>
        <v>60</v>
      </c>
      <c r="D34" s="28">
        <f t="shared" si="25"/>
        <v>1220794.0701528296</v>
      </c>
      <c r="E34" s="28">
        <f t="shared" si="26"/>
        <v>1737087.5474418662</v>
      </c>
      <c r="F34" s="28">
        <f t="shared" si="27"/>
        <v>2962486.409043191</v>
      </c>
      <c r="G34" s="35">
        <f t="shared" si="2"/>
        <v>2.0000000000000004E-2</v>
      </c>
      <c r="H34" s="35">
        <f t="shared" si="3"/>
        <v>4.9999999999999989E-2</v>
      </c>
      <c r="I34" s="35">
        <f t="shared" si="4"/>
        <v>8.0000000000000016E-2</v>
      </c>
      <c r="J34" s="28">
        <f t="shared" si="28"/>
        <v>225048.40527558111</v>
      </c>
      <c r="K34" s="28">
        <f t="shared" si="29"/>
        <v>1430832.8120184797</v>
      </c>
      <c r="L34" s="28">
        <f t="shared" si="30"/>
        <v>7954239.6716042273</v>
      </c>
      <c r="M34" s="28">
        <f t="shared" si="5"/>
        <v>225048.40527558111</v>
      </c>
      <c r="N34" s="28">
        <f t="shared" si="6"/>
        <v>1430832.8120184797</v>
      </c>
      <c r="O34" s="28">
        <f t="shared" si="7"/>
        <v>7954239.6716042273</v>
      </c>
      <c r="P34" s="54">
        <f t="shared" si="31"/>
        <v>1.4396363153984411</v>
      </c>
      <c r="Q34" s="54">
        <f t="shared" si="32"/>
        <v>0.74338670761199288</v>
      </c>
      <c r="R34" s="54">
        <f t="shared" si="33"/>
        <v>0.53006090051618837</v>
      </c>
      <c r="S34" s="28">
        <f t="shared" si="8"/>
        <v>323987.8569572327</v>
      </c>
      <c r="T34" s="28">
        <f t="shared" si="9"/>
        <v>1063662.0932696271</v>
      </c>
      <c r="U34" s="28">
        <f t="shared" si="10"/>
        <v>4216231.4432521276</v>
      </c>
      <c r="V34" s="28">
        <f t="shared" si="11"/>
        <v>1544781.9271100624</v>
      </c>
      <c r="W34" s="28">
        <f t="shared" si="12"/>
        <v>2800749.6407114933</v>
      </c>
      <c r="X34" s="28">
        <f t="shared" si="13"/>
        <v>7178717.8522953186</v>
      </c>
      <c r="Y34" s="28">
        <f t="shared" si="34"/>
        <v>1608880.8167821751</v>
      </c>
      <c r="Z34" s="28">
        <f t="shared" si="35"/>
        <v>2284666.340501288</v>
      </c>
      <c r="AA34" s="28">
        <f t="shared" si="36"/>
        <v>3885063.6037110677</v>
      </c>
      <c r="AB34" s="28">
        <f t="shared" si="14"/>
        <v>2800749.6407114933</v>
      </c>
      <c r="AC34" s="28">
        <f t="shared" si="15"/>
        <v>2284666.340501288</v>
      </c>
      <c r="AD34" s="39">
        <f t="shared" si="16"/>
        <v>1</v>
      </c>
      <c r="AE34" s="39">
        <f t="shared" si="17"/>
        <v>1</v>
      </c>
      <c r="AF34" s="39">
        <f t="shared" si="18"/>
        <v>1</v>
      </c>
      <c r="AG34" s="39">
        <f t="shared" si="19"/>
        <v>1</v>
      </c>
      <c r="AH34" s="39">
        <f t="shared" si="20"/>
        <v>1</v>
      </c>
      <c r="AI34" s="39">
        <f t="shared" si="21"/>
        <v>1</v>
      </c>
      <c r="AJ34" s="39">
        <f t="shared" si="22"/>
        <v>1</v>
      </c>
      <c r="AK34" s="39">
        <f t="shared" si="23"/>
        <v>1</v>
      </c>
    </row>
    <row r="35" spans="1:37" x14ac:dyDescent="0.25">
      <c r="A35" s="39">
        <f t="shared" si="24"/>
        <v>31</v>
      </c>
      <c r="B35" s="39">
        <f t="shared" si="0"/>
        <v>2057</v>
      </c>
      <c r="C35" s="39">
        <f t="shared" si="1"/>
        <v>61</v>
      </c>
      <c r="D35" s="28">
        <f t="shared" si="25"/>
        <v>1292336.7346664243</v>
      </c>
      <c r="E35" s="28">
        <f t="shared" si="26"/>
        <v>1863303.0921131843</v>
      </c>
      <c r="F35" s="28">
        <f t="shared" si="27"/>
        <v>3243335.1949177161</v>
      </c>
      <c r="G35" s="35">
        <f t="shared" si="2"/>
        <v>2.0000000000000004E-2</v>
      </c>
      <c r="H35" s="35">
        <f t="shared" si="3"/>
        <v>4.9999999999999989E-2</v>
      </c>
      <c r="I35" s="35">
        <f t="shared" si="4"/>
        <v>8.0000000000000016E-2</v>
      </c>
      <c r="J35" s="28">
        <f t="shared" si="28"/>
        <v>229549.37338109274</v>
      </c>
      <c r="K35" s="28">
        <f t="shared" si="29"/>
        <v>1502374.4526194038</v>
      </c>
      <c r="L35" s="28">
        <f t="shared" si="30"/>
        <v>8590578.8453325666</v>
      </c>
      <c r="M35" s="28">
        <f t="shared" si="5"/>
        <v>229549.37338109274</v>
      </c>
      <c r="N35" s="28">
        <f t="shared" si="6"/>
        <v>1502374.4526194038</v>
      </c>
      <c r="O35" s="28">
        <f t="shared" si="7"/>
        <v>8590578.8453325666</v>
      </c>
      <c r="P35" s="54">
        <f t="shared" si="31"/>
        <v>1.4631606662623184</v>
      </c>
      <c r="Q35" s="54">
        <f t="shared" si="32"/>
        <v>0.74698101793228955</v>
      </c>
      <c r="R35" s="54">
        <f t="shared" si="33"/>
        <v>0.53068949610878147</v>
      </c>
      <c r="S35" s="28">
        <f t="shared" si="8"/>
        <v>335867.61409637734</v>
      </c>
      <c r="T35" s="28">
        <f t="shared" si="9"/>
        <v>1122245.1979331085</v>
      </c>
      <c r="U35" s="28">
        <f t="shared" si="10"/>
        <v>4558929.9587122975</v>
      </c>
      <c r="V35" s="28">
        <f t="shared" si="11"/>
        <v>1628204.3487628016</v>
      </c>
      <c r="W35" s="28">
        <f t="shared" si="12"/>
        <v>2985548.2900462928</v>
      </c>
      <c r="X35" s="28">
        <f t="shared" si="13"/>
        <v>7802265.1536300136</v>
      </c>
      <c r="Y35" s="28">
        <f t="shared" si="34"/>
        <v>1703416.7471429668</v>
      </c>
      <c r="Z35" s="28">
        <f t="shared" si="35"/>
        <v>2450961.8753997027</v>
      </c>
      <c r="AA35" s="28">
        <f t="shared" si="36"/>
        <v>4253729.2856425894</v>
      </c>
      <c r="AB35" s="28">
        <f t="shared" si="14"/>
        <v>2985548.2900462928</v>
      </c>
      <c r="AC35" s="28">
        <f t="shared" si="15"/>
        <v>2450961.8753997027</v>
      </c>
      <c r="AD35" s="39">
        <f t="shared" si="16"/>
        <v>1</v>
      </c>
      <c r="AE35" s="39">
        <f t="shared" si="17"/>
        <v>1</v>
      </c>
      <c r="AF35" s="39">
        <f t="shared" si="18"/>
        <v>1</v>
      </c>
      <c r="AG35" s="39">
        <f t="shared" si="19"/>
        <v>1</v>
      </c>
      <c r="AH35" s="39">
        <f t="shared" si="20"/>
        <v>1</v>
      </c>
      <c r="AI35" s="39">
        <f t="shared" si="21"/>
        <v>1</v>
      </c>
      <c r="AJ35" s="39">
        <f t="shared" si="22"/>
        <v>1</v>
      </c>
      <c r="AK35" s="39">
        <f t="shared" si="23"/>
        <v>1</v>
      </c>
    </row>
    <row r="36" spans="1:37" x14ac:dyDescent="0.25">
      <c r="A36" s="39">
        <f t="shared" si="24"/>
        <v>32</v>
      </c>
      <c r="B36" s="39">
        <f t="shared" ref="B36:B64" si="37">BaseYear+$A36</f>
        <v>2058</v>
      </c>
      <c r="C36" s="39">
        <f t="shared" ref="C36:C64" si="38">CurrentAge+$A36</f>
        <v>62</v>
      </c>
      <c r="D36" s="28">
        <f t="shared" si="25"/>
        <v>1367122.6666379687</v>
      </c>
      <c r="E36" s="28">
        <f t="shared" si="26"/>
        <v>1997512.2879470191</v>
      </c>
      <c r="F36" s="28">
        <f t="shared" si="27"/>
        <v>3549273.1389970318</v>
      </c>
      <c r="G36" s="35">
        <f t="shared" ref="G36:G64" si="39">IF(BTCGlideYears=0,BTCfC,BTCiC+(BTCfC-BTCiC)*MIN($A36,BTCGlideYears)/BTCGlideYears)</f>
        <v>2.0000000000000004E-2</v>
      </c>
      <c r="H36" s="35">
        <f t="shared" ref="H36:H64" si="40">IF(BTCGlideYears=0,BTCfB,BTCiB+(BTCfB-BTCiB)*MIN($A36,BTCGlideYears)/BTCGlideYears)</f>
        <v>4.9999999999999989E-2</v>
      </c>
      <c r="I36" s="35">
        <f t="shared" ref="I36:I64" si="41">IF(BTCGlideYears=0,BTCfA,BTCiA+(BTCfA-BTCiA)*MIN($A36,BTCGlideYears)/BTCGlideYears)</f>
        <v>8.0000000000000016E-2</v>
      </c>
      <c r="J36" s="28">
        <f t="shared" si="28"/>
        <v>234140.3608487146</v>
      </c>
      <c r="K36" s="28">
        <f t="shared" si="29"/>
        <v>1577493.175250374</v>
      </c>
      <c r="L36" s="28">
        <f t="shared" si="30"/>
        <v>9277825.1529591717</v>
      </c>
      <c r="M36" s="28">
        <f t="shared" ref="M36:M64" si="42">CHOOSE(StressIndex,J36,BTCPriceSeed,J36*ShockFactor,0)</f>
        <v>234140.3608487146</v>
      </c>
      <c r="N36" s="28">
        <f t="shared" ref="N36:N64" si="43">CHOOSE(StressIndex,K36,BTCPriceSeed,K36*ShockFactor,0)</f>
        <v>1577493.175250374</v>
      </c>
      <c r="O36" s="28">
        <f t="shared" ref="O36:O64" si="44">CHOOSE(StressIndex,L36,BTCPriceSeed,L36*ShockFactor,0)</f>
        <v>9277825.1529591717</v>
      </c>
      <c r="P36" s="54">
        <f t="shared" si="31"/>
        <v>1.486223755344551</v>
      </c>
      <c r="Q36" s="54">
        <f t="shared" si="32"/>
        <v>0.75040417061828635</v>
      </c>
      <c r="R36" s="54">
        <f t="shared" si="33"/>
        <v>0.53127152906488628</v>
      </c>
      <c r="S36" s="28">
        <f t="shared" ref="S36:S64" si="45">P36*M36</f>
        <v>347984.96637830487</v>
      </c>
      <c r="T36" s="28">
        <f t="shared" ref="T36:T64" si="46">Q36*N36</f>
        <v>1183757.4578297639</v>
      </c>
      <c r="U36" s="28">
        <f t="shared" ref="U36:U64" si="47">R36*O36</f>
        <v>4929044.3554092813</v>
      </c>
      <c r="V36" s="28">
        <f t="shared" ref="V36:V64" si="48">D36+S36</f>
        <v>1715107.6330162736</v>
      </c>
      <c r="W36" s="28">
        <f t="shared" ref="W36:W64" si="49">E36+T36</f>
        <v>3181269.7457767827</v>
      </c>
      <c r="X36" s="28">
        <f t="shared" ref="X36:X64" si="50">F36+U36</f>
        <v>8478317.4944063127</v>
      </c>
      <c r="Y36" s="28">
        <f t="shared" si="34"/>
        <v>1802238.3063467811</v>
      </c>
      <c r="Z36" s="28">
        <f t="shared" si="35"/>
        <v>2627789.4608416837</v>
      </c>
      <c r="AA36" s="28">
        <f t="shared" si="36"/>
        <v>4655329.1018266603</v>
      </c>
      <c r="AB36" s="28">
        <f t="shared" ref="AB36:AB64" si="51">INDEX($V36:$X36,1,ScenIndex)</f>
        <v>3181269.7457767827</v>
      </c>
      <c r="AC36" s="28">
        <f t="shared" ref="AC36:AC64" si="52">INDEX($Y36:$AA36,1,ScenIndex)</f>
        <v>2627789.4608416837</v>
      </c>
      <c r="AD36" s="39">
        <f t="shared" ref="AD36:AD64" si="53">IF($AB36&gt;=FINumber,1,0)</f>
        <v>1</v>
      </c>
      <c r="AE36" s="39">
        <f t="shared" ref="AE36:AE64" si="54">IF($AC36&gt;=FINumber,1,0)</f>
        <v>1</v>
      </c>
      <c r="AF36" s="39">
        <f t="shared" ref="AF36:AF64" si="55">IF(V36&gt;=FINumber,1,0)</f>
        <v>1</v>
      </c>
      <c r="AG36" s="39">
        <f t="shared" ref="AG36:AG64" si="56">IF(W36&gt;=FINumber,1,0)</f>
        <v>1</v>
      </c>
      <c r="AH36" s="39">
        <f t="shared" ref="AH36:AH64" si="57">IF(X36&gt;=FINumber,1,0)</f>
        <v>1</v>
      </c>
      <c r="AI36" s="39">
        <f t="shared" ref="AI36:AI64" si="58">IF(Y36&gt;=FINumber,1,0)</f>
        <v>1</v>
      </c>
      <c r="AJ36" s="39">
        <f t="shared" ref="AJ36:AJ64" si="59">IF(Z36&gt;=FINumber,1,0)</f>
        <v>1</v>
      </c>
      <c r="AK36" s="39">
        <f t="shared" ref="AK36:AK64" si="60">IF(AA36&gt;=FINumber,1,0)</f>
        <v>1</v>
      </c>
    </row>
    <row r="37" spans="1:37" x14ac:dyDescent="0.25">
      <c r="A37" s="39">
        <f t="shared" ref="A37:A64" si="61">A36+1</f>
        <v>33</v>
      </c>
      <c r="B37" s="39">
        <f t="shared" si="37"/>
        <v>2059</v>
      </c>
      <c r="C37" s="39">
        <f t="shared" si="38"/>
        <v>63</v>
      </c>
      <c r="D37" s="28">
        <f t="shared" ref="D37:D64" si="62">D36*(1+BlendC)+AnnualPortfolioContrib</f>
        <v>1445298.8941922232</v>
      </c>
      <c r="E37" s="28">
        <f t="shared" ref="E37:E64" si="63">E36*(1+BlendB)+AnnualPortfolioContrib</f>
        <v>2140221.3995169969</v>
      </c>
      <c r="F37" s="28">
        <f t="shared" ref="F37:F64" si="64">F36*(1+BlendA)+AnnualPortfolioContrib</f>
        <v>3882541.5394140999</v>
      </c>
      <c r="G37" s="35">
        <f t="shared" si="39"/>
        <v>2.0000000000000004E-2</v>
      </c>
      <c r="H37" s="35">
        <f t="shared" si="40"/>
        <v>4.9999999999999989E-2</v>
      </c>
      <c r="I37" s="35">
        <f t="shared" si="41"/>
        <v>8.0000000000000016E-2</v>
      </c>
      <c r="J37" s="28">
        <f t="shared" ref="J37:J64" si="65">J36*(1+G37)</f>
        <v>238823.16806568889</v>
      </c>
      <c r="K37" s="28">
        <f t="shared" ref="K37:K64" si="66">K36*(1+H37)</f>
        <v>1656367.8340128928</v>
      </c>
      <c r="L37" s="28">
        <f t="shared" ref="L37:L64" si="67">L36*(1+I37)</f>
        <v>10020051.165195907</v>
      </c>
      <c r="M37" s="28">
        <f t="shared" si="42"/>
        <v>238823.16806568889</v>
      </c>
      <c r="N37" s="28">
        <f t="shared" si="43"/>
        <v>1656367.8340128928</v>
      </c>
      <c r="O37" s="28">
        <f t="shared" si="44"/>
        <v>10020051.165195907</v>
      </c>
      <c r="P37" s="54">
        <f t="shared" ref="P37:P64" si="68">IF(StressIndex=4,0,IF(M37&lt;=0,P36,P36+AnnualBTCDCA/M37))</f>
        <v>1.5088346269937987</v>
      </c>
      <c r="Q37" s="54">
        <f t="shared" ref="Q37:Q64" si="69">IF(StressIndex=4,0,IF(N37&lt;=0,Q36,Q36+AnnualBTCDCA/N37))</f>
        <v>0.75366431603352146</v>
      </c>
      <c r="R37" s="54">
        <f t="shared" ref="R37:R64" si="70">IF(StressIndex=4,0,IF(O37&lt;=0,R36,R36+AnnualBTCDCA/O37))</f>
        <v>0.53181044846868697</v>
      </c>
      <c r="S37" s="28">
        <f t="shared" si="45"/>
        <v>360344.66570587101</v>
      </c>
      <c r="T37" s="28">
        <f t="shared" si="46"/>
        <v>1248345.3307212524</v>
      </c>
      <c r="U37" s="28">
        <f t="shared" si="47"/>
        <v>5328767.9038420245</v>
      </c>
      <c r="V37" s="28">
        <f t="shared" si="48"/>
        <v>1805643.5598980943</v>
      </c>
      <c r="W37" s="28">
        <f t="shared" si="49"/>
        <v>3388566.7302382495</v>
      </c>
      <c r="X37" s="28">
        <f t="shared" si="50"/>
        <v>9211309.4432561249</v>
      </c>
      <c r="Y37" s="28">
        <f t="shared" ref="Y37:Y64" si="71">Y36*(1+BlendC)+AnnualPortfolioContrib+AnnualBTCDCA</f>
        <v>1905539.7762345017</v>
      </c>
      <c r="Z37" s="28">
        <f t="shared" ref="Z37:Z64" si="72">Z36*(1+BlendB)+AnnualPortfolioContrib+AnnualBTCDCA</f>
        <v>2815816.1266949899</v>
      </c>
      <c r="AA37" s="28">
        <f t="shared" ref="AA37:AA64" si="73">AA36*(1+BlendA)+AnnualPortfolioContrib+AnnualBTCDCA</f>
        <v>5092805.1682565082</v>
      </c>
      <c r="AB37" s="28">
        <f t="shared" si="51"/>
        <v>3388566.7302382495</v>
      </c>
      <c r="AC37" s="28">
        <f t="shared" si="52"/>
        <v>2815816.1266949899</v>
      </c>
      <c r="AD37" s="39">
        <f t="shared" si="53"/>
        <v>1</v>
      </c>
      <c r="AE37" s="39">
        <f t="shared" si="54"/>
        <v>1</v>
      </c>
      <c r="AF37" s="39">
        <f t="shared" si="55"/>
        <v>1</v>
      </c>
      <c r="AG37" s="39">
        <f t="shared" si="56"/>
        <v>1</v>
      </c>
      <c r="AH37" s="39">
        <f t="shared" si="57"/>
        <v>1</v>
      </c>
      <c r="AI37" s="39">
        <f t="shared" si="58"/>
        <v>1</v>
      </c>
      <c r="AJ37" s="39">
        <f t="shared" si="59"/>
        <v>1</v>
      </c>
      <c r="AK37" s="39">
        <f t="shared" si="60"/>
        <v>1</v>
      </c>
    </row>
    <row r="38" spans="1:37" x14ac:dyDescent="0.25">
      <c r="A38" s="39">
        <f t="shared" si="61"/>
        <v>34</v>
      </c>
      <c r="B38" s="39">
        <f t="shared" si="37"/>
        <v>2060</v>
      </c>
      <c r="C38" s="39">
        <f t="shared" si="38"/>
        <v>64</v>
      </c>
      <c r="D38" s="28">
        <f t="shared" si="62"/>
        <v>1527019.1107289372</v>
      </c>
      <c r="E38" s="28">
        <f t="shared" si="63"/>
        <v>2291968.7548197401</v>
      </c>
      <c r="F38" s="28">
        <f t="shared" si="64"/>
        <v>4245581.9169350928</v>
      </c>
      <c r="G38" s="35">
        <f t="shared" si="39"/>
        <v>2.0000000000000004E-2</v>
      </c>
      <c r="H38" s="35">
        <f t="shared" si="40"/>
        <v>4.9999999999999989E-2</v>
      </c>
      <c r="I38" s="35">
        <f t="shared" si="41"/>
        <v>8.0000000000000016E-2</v>
      </c>
      <c r="J38" s="28">
        <f t="shared" si="65"/>
        <v>243599.63142700266</v>
      </c>
      <c r="K38" s="28">
        <f t="shared" si="66"/>
        <v>1739186.2257135375</v>
      </c>
      <c r="L38" s="28">
        <f t="shared" si="67"/>
        <v>10821655.258411581</v>
      </c>
      <c r="M38" s="28">
        <f t="shared" si="42"/>
        <v>243599.63142700266</v>
      </c>
      <c r="N38" s="28">
        <f t="shared" si="43"/>
        <v>1739186.2257135375</v>
      </c>
      <c r="O38" s="28">
        <f t="shared" si="44"/>
        <v>10821655.258411581</v>
      </c>
      <c r="P38" s="54">
        <f t="shared" si="68"/>
        <v>1.5310021482185514</v>
      </c>
      <c r="Q38" s="54">
        <f t="shared" si="69"/>
        <v>0.75676921642898343</v>
      </c>
      <c r="R38" s="54">
        <f t="shared" si="70"/>
        <v>0.53230944791665058</v>
      </c>
      <c r="S38" s="28">
        <f t="shared" si="45"/>
        <v>372951.5590199884</v>
      </c>
      <c r="T38" s="28">
        <f t="shared" si="46"/>
        <v>1316162.5972573149</v>
      </c>
      <c r="U38" s="28">
        <f t="shared" si="47"/>
        <v>5760469.3361493871</v>
      </c>
      <c r="V38" s="28">
        <f t="shared" si="48"/>
        <v>1899970.6697489256</v>
      </c>
      <c r="W38" s="28">
        <f t="shared" si="49"/>
        <v>3608131.3520770548</v>
      </c>
      <c r="X38" s="28">
        <f t="shared" si="50"/>
        <v>10006051.253084481</v>
      </c>
      <c r="Y38" s="28">
        <f t="shared" si="71"/>
        <v>2013524.2460904657</v>
      </c>
      <c r="Z38" s="28">
        <f t="shared" si="72"/>
        <v>3015751.148052339</v>
      </c>
      <c r="AA38" s="28">
        <f t="shared" si="73"/>
        <v>5569362.4299540892</v>
      </c>
      <c r="AB38" s="28">
        <f t="shared" si="51"/>
        <v>3608131.3520770548</v>
      </c>
      <c r="AC38" s="28">
        <f t="shared" si="52"/>
        <v>3015751.148052339</v>
      </c>
      <c r="AD38" s="39">
        <f t="shared" si="53"/>
        <v>1</v>
      </c>
      <c r="AE38" s="39">
        <f t="shared" si="54"/>
        <v>1</v>
      </c>
      <c r="AF38" s="39">
        <f t="shared" si="55"/>
        <v>1</v>
      </c>
      <c r="AG38" s="39">
        <f t="shared" si="56"/>
        <v>1</v>
      </c>
      <c r="AH38" s="39">
        <f t="shared" si="57"/>
        <v>1</v>
      </c>
      <c r="AI38" s="39">
        <f t="shared" si="58"/>
        <v>1</v>
      </c>
      <c r="AJ38" s="39">
        <f t="shared" si="59"/>
        <v>1</v>
      </c>
      <c r="AK38" s="39">
        <f t="shared" si="60"/>
        <v>1</v>
      </c>
    </row>
    <row r="39" spans="1:37" x14ac:dyDescent="0.25">
      <c r="A39" s="39">
        <f t="shared" si="61"/>
        <v>35</v>
      </c>
      <c r="B39" s="39">
        <f t="shared" si="37"/>
        <v>2061</v>
      </c>
      <c r="C39" s="39">
        <f t="shared" si="38"/>
        <v>65</v>
      </c>
      <c r="D39" s="28">
        <f t="shared" si="62"/>
        <v>1612443.9770819822</v>
      </c>
      <c r="E39" s="28">
        <f t="shared" si="63"/>
        <v>2453326.7759583234</v>
      </c>
      <c r="F39" s="28">
        <f t="shared" si="64"/>
        <v>4641053.901514627</v>
      </c>
      <c r="G39" s="35">
        <f t="shared" si="39"/>
        <v>2.0000000000000004E-2</v>
      </c>
      <c r="H39" s="35">
        <f t="shared" si="40"/>
        <v>4.9999999999999989E-2</v>
      </c>
      <c r="I39" s="35">
        <f t="shared" si="41"/>
        <v>8.0000000000000016E-2</v>
      </c>
      <c r="J39" s="28">
        <f t="shared" si="65"/>
        <v>248471.62405554272</v>
      </c>
      <c r="K39" s="28">
        <f t="shared" si="66"/>
        <v>1826145.5369992144</v>
      </c>
      <c r="L39" s="28">
        <f t="shared" si="67"/>
        <v>11687387.679084508</v>
      </c>
      <c r="M39" s="28">
        <f t="shared" si="42"/>
        <v>248471.62405554272</v>
      </c>
      <c r="N39" s="28">
        <f t="shared" si="43"/>
        <v>1826145.5369992144</v>
      </c>
      <c r="O39" s="28">
        <f t="shared" si="44"/>
        <v>11687387.679084508</v>
      </c>
      <c r="P39" s="54">
        <f t="shared" si="68"/>
        <v>1.5527350121643873</v>
      </c>
      <c r="Q39" s="54">
        <f t="shared" si="69"/>
        <v>0.75972626442466151</v>
      </c>
      <c r="R39" s="54">
        <f t="shared" si="70"/>
        <v>0.53277148444254285</v>
      </c>
      <c r="S39" s="28">
        <f t="shared" si="45"/>
        <v>385810.59020038816</v>
      </c>
      <c r="T39" s="28">
        <f t="shared" si="46"/>
        <v>1387370.7271201806</v>
      </c>
      <c r="U39" s="28">
        <f t="shared" si="47"/>
        <v>6226706.883041339</v>
      </c>
      <c r="V39" s="28">
        <f t="shared" si="48"/>
        <v>1998254.5672823703</v>
      </c>
      <c r="W39" s="28">
        <f t="shared" si="49"/>
        <v>3840697.503078504</v>
      </c>
      <c r="X39" s="28">
        <f t="shared" si="50"/>
        <v>10867760.784555966</v>
      </c>
      <c r="Y39" s="28">
        <f t="shared" si="71"/>
        <v>2126404.0119132334</v>
      </c>
      <c r="Z39" s="28">
        <f t="shared" si="72"/>
        <v>3228348.7207623203</v>
      </c>
      <c r="AA39" s="28">
        <f t="shared" si="73"/>
        <v>6088492.1403633207</v>
      </c>
      <c r="AB39" s="28">
        <f t="shared" si="51"/>
        <v>3840697.503078504</v>
      </c>
      <c r="AC39" s="28">
        <f t="shared" si="52"/>
        <v>3228348.7207623203</v>
      </c>
      <c r="AD39" s="39">
        <f t="shared" si="53"/>
        <v>1</v>
      </c>
      <c r="AE39" s="39">
        <f t="shared" si="54"/>
        <v>1</v>
      </c>
      <c r="AF39" s="39">
        <f t="shared" si="55"/>
        <v>1</v>
      </c>
      <c r="AG39" s="39">
        <f t="shared" si="56"/>
        <v>1</v>
      </c>
      <c r="AH39" s="39">
        <f t="shared" si="57"/>
        <v>1</v>
      </c>
      <c r="AI39" s="39">
        <f t="shared" si="58"/>
        <v>1</v>
      </c>
      <c r="AJ39" s="39">
        <f t="shared" si="59"/>
        <v>1</v>
      </c>
      <c r="AK39" s="39">
        <f t="shared" si="60"/>
        <v>1</v>
      </c>
    </row>
    <row r="40" spans="1:37" x14ac:dyDescent="0.25">
      <c r="A40" s="39">
        <f t="shared" si="61"/>
        <v>36</v>
      </c>
      <c r="B40" s="39">
        <f t="shared" si="37"/>
        <v>2062</v>
      </c>
      <c r="C40" s="39">
        <f t="shared" si="38"/>
        <v>66</v>
      </c>
      <c r="D40" s="28">
        <f t="shared" si="62"/>
        <v>1701741.4373763653</v>
      </c>
      <c r="E40" s="28">
        <f t="shared" si="63"/>
        <v>2624904.1384356837</v>
      </c>
      <c r="F40" s="28">
        <f t="shared" si="64"/>
        <v>5071854.7167165997</v>
      </c>
      <c r="G40" s="35">
        <f t="shared" si="39"/>
        <v>2.0000000000000004E-2</v>
      </c>
      <c r="H40" s="35">
        <f t="shared" si="40"/>
        <v>4.9999999999999989E-2</v>
      </c>
      <c r="I40" s="35">
        <f t="shared" si="41"/>
        <v>8.0000000000000016E-2</v>
      </c>
      <c r="J40" s="28">
        <f t="shared" si="65"/>
        <v>253441.05653665357</v>
      </c>
      <c r="K40" s="28">
        <f t="shared" si="66"/>
        <v>1917452.8138491753</v>
      </c>
      <c r="L40" s="28">
        <f t="shared" si="67"/>
        <v>12622378.693411268</v>
      </c>
      <c r="M40" s="28">
        <f t="shared" si="42"/>
        <v>253441.05653665357</v>
      </c>
      <c r="N40" s="28">
        <f t="shared" si="43"/>
        <v>1917452.8138491753</v>
      </c>
      <c r="O40" s="28">
        <f t="shared" si="44"/>
        <v>12622378.693411268</v>
      </c>
      <c r="P40" s="54">
        <f t="shared" si="68"/>
        <v>1.5740417415230499</v>
      </c>
      <c r="Q40" s="54">
        <f t="shared" si="69"/>
        <v>0.76254250061102158</v>
      </c>
      <c r="R40" s="54">
        <f t="shared" si="70"/>
        <v>0.53319929604059124</v>
      </c>
      <c r="S40" s="28">
        <f t="shared" si="45"/>
        <v>398926.80200439593</v>
      </c>
      <c r="T40" s="28">
        <f t="shared" si="46"/>
        <v>1462139.2634761899</v>
      </c>
      <c r="U40" s="28">
        <f t="shared" si="47"/>
        <v>6730243.4336846462</v>
      </c>
      <c r="V40" s="28">
        <f t="shared" si="48"/>
        <v>2100668.239380761</v>
      </c>
      <c r="W40" s="28">
        <f t="shared" si="49"/>
        <v>4087043.4019118734</v>
      </c>
      <c r="X40" s="28">
        <f t="shared" si="50"/>
        <v>11802098.150401246</v>
      </c>
      <c r="Y40" s="28">
        <f t="shared" si="71"/>
        <v>2244400.993786633</v>
      </c>
      <c r="Z40" s="28">
        <f t="shared" si="72"/>
        <v>3454410.8064106004</v>
      </c>
      <c r="AA40" s="28">
        <f t="shared" si="73"/>
        <v>6653997.4382357765</v>
      </c>
      <c r="AB40" s="28">
        <f t="shared" si="51"/>
        <v>4087043.4019118734</v>
      </c>
      <c r="AC40" s="28">
        <f t="shared" si="52"/>
        <v>3454410.8064106004</v>
      </c>
      <c r="AD40" s="39">
        <f t="shared" si="53"/>
        <v>1</v>
      </c>
      <c r="AE40" s="39">
        <f t="shared" si="54"/>
        <v>1</v>
      </c>
      <c r="AF40" s="39">
        <f t="shared" si="55"/>
        <v>1</v>
      </c>
      <c r="AG40" s="39">
        <f t="shared" si="56"/>
        <v>1</v>
      </c>
      <c r="AH40" s="39">
        <f t="shared" si="57"/>
        <v>1</v>
      </c>
      <c r="AI40" s="39">
        <f t="shared" si="58"/>
        <v>1</v>
      </c>
      <c r="AJ40" s="39">
        <f t="shared" si="59"/>
        <v>1</v>
      </c>
      <c r="AK40" s="39">
        <f t="shared" si="60"/>
        <v>1</v>
      </c>
    </row>
    <row r="41" spans="1:37" x14ac:dyDescent="0.25">
      <c r="A41" s="39">
        <f t="shared" si="61"/>
        <v>37</v>
      </c>
      <c r="B41" s="39">
        <f t="shared" si="37"/>
        <v>2063</v>
      </c>
      <c r="C41" s="39">
        <f t="shared" si="38"/>
        <v>67</v>
      </c>
      <c r="D41" s="28">
        <f t="shared" si="62"/>
        <v>1795087.0492040936</v>
      </c>
      <c r="E41" s="28">
        <f t="shared" si="63"/>
        <v>2807348.0672032768</v>
      </c>
      <c r="F41" s="28">
        <f t="shared" si="64"/>
        <v>5541140.4047432821</v>
      </c>
      <c r="G41" s="35">
        <f t="shared" si="39"/>
        <v>2.0000000000000004E-2</v>
      </c>
      <c r="H41" s="35">
        <f t="shared" si="40"/>
        <v>4.9999999999999989E-2</v>
      </c>
      <c r="I41" s="35">
        <f t="shared" si="41"/>
        <v>8.0000000000000016E-2</v>
      </c>
      <c r="J41" s="28">
        <f t="shared" si="65"/>
        <v>258509.87766738664</v>
      </c>
      <c r="K41" s="28">
        <f t="shared" si="66"/>
        <v>2013325.4545416343</v>
      </c>
      <c r="L41" s="28">
        <f t="shared" si="67"/>
        <v>13632168.988884171</v>
      </c>
      <c r="M41" s="28">
        <f t="shared" si="42"/>
        <v>258509.87766738664</v>
      </c>
      <c r="N41" s="28">
        <f t="shared" si="43"/>
        <v>2013325.4545416343</v>
      </c>
      <c r="O41" s="28">
        <f t="shared" si="44"/>
        <v>13632168.988884171</v>
      </c>
      <c r="P41" s="54">
        <f t="shared" si="68"/>
        <v>1.59493069187468</v>
      </c>
      <c r="Q41" s="54">
        <f t="shared" si="69"/>
        <v>0.76522463031231691</v>
      </c>
      <c r="R41" s="54">
        <f t="shared" si="70"/>
        <v>0.53359541789063603</v>
      </c>
      <c r="S41" s="28">
        <f t="shared" si="45"/>
        <v>412305.33804448385</v>
      </c>
      <c r="T41" s="28">
        <f t="shared" si="46"/>
        <v>1540646.2266499996</v>
      </c>
      <c r="U41" s="28">
        <f t="shared" si="47"/>
        <v>7274062.9083794188</v>
      </c>
      <c r="V41" s="28">
        <f t="shared" si="48"/>
        <v>2207392.3872485776</v>
      </c>
      <c r="W41" s="28">
        <f t="shared" si="49"/>
        <v>4347994.2938532764</v>
      </c>
      <c r="X41" s="28">
        <f t="shared" si="50"/>
        <v>12815203.313122701</v>
      </c>
      <c r="Y41" s="28">
        <f t="shared" si="71"/>
        <v>2367747.1721716267</v>
      </c>
      <c r="Z41" s="28">
        <f t="shared" si="72"/>
        <v>3694790.1574832713</v>
      </c>
      <c r="AA41" s="28">
        <f t="shared" si="73"/>
        <v>7270021.2093848391</v>
      </c>
      <c r="AB41" s="28">
        <f t="shared" si="51"/>
        <v>4347994.2938532764</v>
      </c>
      <c r="AC41" s="28">
        <f t="shared" si="52"/>
        <v>3694790.1574832713</v>
      </c>
      <c r="AD41" s="39">
        <f t="shared" si="53"/>
        <v>1</v>
      </c>
      <c r="AE41" s="39">
        <f t="shared" si="54"/>
        <v>1</v>
      </c>
      <c r="AF41" s="39">
        <f t="shared" si="55"/>
        <v>1</v>
      </c>
      <c r="AG41" s="39">
        <f t="shared" si="56"/>
        <v>1</v>
      </c>
      <c r="AH41" s="39">
        <f t="shared" si="57"/>
        <v>1</v>
      </c>
      <c r="AI41" s="39">
        <f t="shared" si="58"/>
        <v>1</v>
      </c>
      <c r="AJ41" s="39">
        <f t="shared" si="59"/>
        <v>1</v>
      </c>
      <c r="AK41" s="39">
        <f t="shared" si="60"/>
        <v>1</v>
      </c>
    </row>
    <row r="42" spans="1:37" x14ac:dyDescent="0.25">
      <c r="A42" s="39">
        <f t="shared" si="61"/>
        <v>38</v>
      </c>
      <c r="B42" s="39">
        <f t="shared" si="37"/>
        <v>2064</v>
      </c>
      <c r="C42" s="39">
        <f t="shared" si="38"/>
        <v>68</v>
      </c>
      <c r="D42" s="28">
        <f t="shared" si="62"/>
        <v>1892664.3287680123</v>
      </c>
      <c r="E42" s="28">
        <f t="shared" si="63"/>
        <v>3001346.7781261508</v>
      </c>
      <c r="F42" s="28">
        <f t="shared" si="64"/>
        <v>6052348.947567015</v>
      </c>
      <c r="G42" s="35">
        <f t="shared" si="39"/>
        <v>2.0000000000000004E-2</v>
      </c>
      <c r="H42" s="35">
        <f t="shared" si="40"/>
        <v>4.9999999999999989E-2</v>
      </c>
      <c r="I42" s="35">
        <f t="shared" si="41"/>
        <v>8.0000000000000016E-2</v>
      </c>
      <c r="J42" s="28">
        <f t="shared" si="65"/>
        <v>263680.07522073435</v>
      </c>
      <c r="K42" s="28">
        <f t="shared" si="66"/>
        <v>2113991.7272687163</v>
      </c>
      <c r="L42" s="28">
        <f t="shared" si="67"/>
        <v>14722742.507994907</v>
      </c>
      <c r="M42" s="28">
        <f t="shared" si="42"/>
        <v>263680.07522073435</v>
      </c>
      <c r="N42" s="28">
        <f t="shared" si="43"/>
        <v>2113991.7272687163</v>
      </c>
      <c r="O42" s="28">
        <f t="shared" si="44"/>
        <v>14722742.507994907</v>
      </c>
      <c r="P42" s="54">
        <f t="shared" si="68"/>
        <v>1.6154100549645134</v>
      </c>
      <c r="Q42" s="54">
        <f t="shared" si="69"/>
        <v>0.76777903955164573</v>
      </c>
      <c r="R42" s="54">
        <f t="shared" si="70"/>
        <v>0.53396219738141826</v>
      </c>
      <c r="S42" s="28">
        <f t="shared" si="45"/>
        <v>425951.4448053735</v>
      </c>
      <c r="T42" s="28">
        <f t="shared" si="46"/>
        <v>1623078.5379824997</v>
      </c>
      <c r="U42" s="28">
        <f t="shared" si="47"/>
        <v>7861387.9410497732</v>
      </c>
      <c r="V42" s="28">
        <f t="shared" si="48"/>
        <v>2318615.773573386</v>
      </c>
      <c r="W42" s="28">
        <f t="shared" si="49"/>
        <v>4624425.3161086505</v>
      </c>
      <c r="X42" s="28">
        <f t="shared" si="50"/>
        <v>13913736.888616789</v>
      </c>
      <c r="Y42" s="28">
        <f t="shared" si="71"/>
        <v>2496685.04397674</v>
      </c>
      <c r="Z42" s="28">
        <f t="shared" si="72"/>
        <v>3950393.534123878</v>
      </c>
      <c r="AA42" s="28">
        <f t="shared" si="73"/>
        <v>7941076.4374232171</v>
      </c>
      <c r="AB42" s="28">
        <f t="shared" si="51"/>
        <v>4624425.3161086505</v>
      </c>
      <c r="AC42" s="28">
        <f t="shared" si="52"/>
        <v>3950393.534123878</v>
      </c>
      <c r="AD42" s="39">
        <f t="shared" si="53"/>
        <v>1</v>
      </c>
      <c r="AE42" s="39">
        <f t="shared" si="54"/>
        <v>1</v>
      </c>
      <c r="AF42" s="39">
        <f t="shared" si="55"/>
        <v>1</v>
      </c>
      <c r="AG42" s="39">
        <f t="shared" si="56"/>
        <v>1</v>
      </c>
      <c r="AH42" s="39">
        <f t="shared" si="57"/>
        <v>1</v>
      </c>
      <c r="AI42" s="39">
        <f t="shared" si="58"/>
        <v>1</v>
      </c>
      <c r="AJ42" s="39">
        <f t="shared" si="59"/>
        <v>1</v>
      </c>
      <c r="AK42" s="39">
        <f t="shared" si="60"/>
        <v>1</v>
      </c>
    </row>
    <row r="43" spans="1:37" x14ac:dyDescent="0.25">
      <c r="A43" s="39">
        <f t="shared" si="61"/>
        <v>39</v>
      </c>
      <c r="B43" s="39">
        <f t="shared" si="37"/>
        <v>2065</v>
      </c>
      <c r="C43" s="39">
        <f t="shared" si="38"/>
        <v>69</v>
      </c>
      <c r="D43" s="28">
        <f t="shared" si="62"/>
        <v>1994665.1116721621</v>
      </c>
      <c r="E43" s="28">
        <f t="shared" si="63"/>
        <v>3207632.0740741403</v>
      </c>
      <c r="F43" s="28">
        <f t="shared" si="64"/>
        <v>6609225.4535496682</v>
      </c>
      <c r="G43" s="35">
        <f t="shared" si="39"/>
        <v>2.0000000000000004E-2</v>
      </c>
      <c r="H43" s="35">
        <f t="shared" si="40"/>
        <v>4.9999999999999989E-2</v>
      </c>
      <c r="I43" s="35">
        <f t="shared" si="41"/>
        <v>8.0000000000000016E-2</v>
      </c>
      <c r="J43" s="28">
        <f t="shared" si="65"/>
        <v>268953.67672514904</v>
      </c>
      <c r="K43" s="28">
        <f t="shared" si="66"/>
        <v>2219691.313632152</v>
      </c>
      <c r="L43" s="28">
        <f t="shared" si="67"/>
        <v>15900561.908634501</v>
      </c>
      <c r="M43" s="28">
        <f t="shared" si="42"/>
        <v>268953.67672514904</v>
      </c>
      <c r="N43" s="28">
        <f t="shared" si="43"/>
        <v>2219691.313632152</v>
      </c>
      <c r="O43" s="28">
        <f t="shared" si="44"/>
        <v>15900561.908634501</v>
      </c>
      <c r="P43" s="54">
        <f t="shared" si="68"/>
        <v>1.6354878619153304</v>
      </c>
      <c r="Q43" s="54">
        <f t="shared" si="69"/>
        <v>0.77021181025576846</v>
      </c>
      <c r="R43" s="54">
        <f t="shared" si="70"/>
        <v>0.53430180802103144</v>
      </c>
      <c r="S43" s="28">
        <f t="shared" si="45"/>
        <v>439870.47370148095</v>
      </c>
      <c r="T43" s="28">
        <f t="shared" si="46"/>
        <v>1709632.4648816246</v>
      </c>
      <c r="U43" s="28">
        <f t="shared" si="47"/>
        <v>8495698.976333756</v>
      </c>
      <c r="V43" s="28">
        <f t="shared" si="48"/>
        <v>2434535.5853736429</v>
      </c>
      <c r="W43" s="28">
        <f t="shared" si="49"/>
        <v>4917264.5389557648</v>
      </c>
      <c r="X43" s="28">
        <f t="shared" si="50"/>
        <v>15104924.429883424</v>
      </c>
      <c r="Y43" s="28">
        <f t="shared" si="71"/>
        <v>2631468.0993036851</v>
      </c>
      <c r="Z43" s="28">
        <f t="shared" si="72"/>
        <v>4222185.1246183896</v>
      </c>
      <c r="AA43" s="28">
        <f t="shared" si="73"/>
        <v>8672079.2658330239</v>
      </c>
      <c r="AB43" s="28">
        <f t="shared" si="51"/>
        <v>4917264.5389557648</v>
      </c>
      <c r="AC43" s="28">
        <f t="shared" si="52"/>
        <v>4222185.1246183896</v>
      </c>
      <c r="AD43" s="39">
        <f t="shared" si="53"/>
        <v>1</v>
      </c>
      <c r="AE43" s="39">
        <f t="shared" si="54"/>
        <v>1</v>
      </c>
      <c r="AF43" s="39">
        <f t="shared" si="55"/>
        <v>1</v>
      </c>
      <c r="AG43" s="39">
        <f t="shared" si="56"/>
        <v>1</v>
      </c>
      <c r="AH43" s="39">
        <f t="shared" si="57"/>
        <v>1</v>
      </c>
      <c r="AI43" s="39">
        <f t="shared" si="58"/>
        <v>1</v>
      </c>
      <c r="AJ43" s="39">
        <f t="shared" si="59"/>
        <v>1</v>
      </c>
      <c r="AK43" s="39">
        <f t="shared" si="60"/>
        <v>1</v>
      </c>
    </row>
    <row r="44" spans="1:37" x14ac:dyDescent="0.25">
      <c r="A44" s="39">
        <f t="shared" si="61"/>
        <v>40</v>
      </c>
      <c r="B44" s="39">
        <f t="shared" si="37"/>
        <v>2066</v>
      </c>
      <c r="C44" s="39">
        <f t="shared" si="38"/>
        <v>70</v>
      </c>
      <c r="D44" s="28">
        <f t="shared" si="62"/>
        <v>2101289.9300679667</v>
      </c>
      <c r="E44" s="28">
        <f t="shared" si="63"/>
        <v>3426982.105432169</v>
      </c>
      <c r="F44" s="28">
        <f t="shared" si="64"/>
        <v>7215849.5940667717</v>
      </c>
      <c r="G44" s="35">
        <f t="shared" si="39"/>
        <v>2.0000000000000004E-2</v>
      </c>
      <c r="H44" s="35">
        <f t="shared" si="40"/>
        <v>4.9999999999999989E-2</v>
      </c>
      <c r="I44" s="35">
        <f t="shared" si="41"/>
        <v>8.0000000000000016E-2</v>
      </c>
      <c r="J44" s="28">
        <f t="shared" si="65"/>
        <v>274332.75025965204</v>
      </c>
      <c r="K44" s="28">
        <f t="shared" si="66"/>
        <v>2330675.87931376</v>
      </c>
      <c r="L44" s="28">
        <f t="shared" si="67"/>
        <v>17172606.86132526</v>
      </c>
      <c r="M44" s="28">
        <f t="shared" si="42"/>
        <v>274332.75025965204</v>
      </c>
      <c r="N44" s="28">
        <f t="shared" si="43"/>
        <v>2330675.87931376</v>
      </c>
      <c r="O44" s="28">
        <f t="shared" si="44"/>
        <v>17172606.86132526</v>
      </c>
      <c r="P44" s="54">
        <f t="shared" si="68"/>
        <v>1.6551719863769156</v>
      </c>
      <c r="Q44" s="54">
        <f t="shared" si="69"/>
        <v>0.77252873473588535</v>
      </c>
      <c r="R44" s="54">
        <f t="shared" si="70"/>
        <v>0.53461626231696957</v>
      </c>
      <c r="S44" s="28">
        <f t="shared" si="45"/>
        <v>454067.88317551056</v>
      </c>
      <c r="T44" s="28">
        <f t="shared" si="46"/>
        <v>1800514.088125706</v>
      </c>
      <c r="U44" s="28">
        <f t="shared" si="47"/>
        <v>9180754.8944404572</v>
      </c>
      <c r="V44" s="28">
        <f t="shared" si="48"/>
        <v>2555357.8132434771</v>
      </c>
      <c r="W44" s="28">
        <f t="shared" si="49"/>
        <v>5227496.1935578752</v>
      </c>
      <c r="X44" s="28">
        <f t="shared" si="50"/>
        <v>16396604.48850723</v>
      </c>
      <c r="Y44" s="28">
        <f t="shared" si="71"/>
        <v>2772361.3198054521</v>
      </c>
      <c r="Z44" s="28">
        <f t="shared" si="72"/>
        <v>4511190.1825108873</v>
      </c>
      <c r="AA44" s="28">
        <f t="shared" si="73"/>
        <v>9468385.013580773</v>
      </c>
      <c r="AB44" s="28">
        <f t="shared" si="51"/>
        <v>5227496.1935578752</v>
      </c>
      <c r="AC44" s="28">
        <f t="shared" si="52"/>
        <v>4511190.1825108873</v>
      </c>
      <c r="AD44" s="39">
        <f t="shared" si="53"/>
        <v>1</v>
      </c>
      <c r="AE44" s="39">
        <f t="shared" si="54"/>
        <v>1</v>
      </c>
      <c r="AF44" s="39">
        <f t="shared" si="55"/>
        <v>1</v>
      </c>
      <c r="AG44" s="39">
        <f t="shared" si="56"/>
        <v>1</v>
      </c>
      <c r="AH44" s="39">
        <f t="shared" si="57"/>
        <v>1</v>
      </c>
      <c r="AI44" s="39">
        <f t="shared" si="58"/>
        <v>1</v>
      </c>
      <c r="AJ44" s="39">
        <f t="shared" si="59"/>
        <v>1</v>
      </c>
      <c r="AK44" s="39">
        <f t="shared" si="60"/>
        <v>1</v>
      </c>
    </row>
    <row r="45" spans="1:37" x14ac:dyDescent="0.25">
      <c r="A45" s="39">
        <f t="shared" si="61"/>
        <v>41</v>
      </c>
      <c r="B45" s="39">
        <f t="shared" si="37"/>
        <v>2067</v>
      </c>
      <c r="C45" s="39">
        <f t="shared" si="38"/>
        <v>71</v>
      </c>
      <c r="D45" s="28">
        <f t="shared" si="62"/>
        <v>2212748.4068977144</v>
      </c>
      <c r="E45" s="28">
        <f t="shared" si="63"/>
        <v>3660224.3054428729</v>
      </c>
      <c r="F45" s="28">
        <f t="shared" si="64"/>
        <v>7876665.4911367362</v>
      </c>
      <c r="G45" s="35">
        <f t="shared" si="39"/>
        <v>2.0000000000000004E-2</v>
      </c>
      <c r="H45" s="35">
        <f t="shared" si="40"/>
        <v>4.9999999999999989E-2</v>
      </c>
      <c r="I45" s="35">
        <f t="shared" si="41"/>
        <v>8.0000000000000016E-2</v>
      </c>
      <c r="J45" s="28">
        <f t="shared" si="65"/>
        <v>279819.40526484506</v>
      </c>
      <c r="K45" s="28">
        <f t="shared" si="66"/>
        <v>2447209.6732794479</v>
      </c>
      <c r="L45" s="28">
        <f t="shared" si="67"/>
        <v>18546415.410231281</v>
      </c>
      <c r="M45" s="28">
        <f t="shared" si="42"/>
        <v>279819.40526484506</v>
      </c>
      <c r="N45" s="28">
        <f t="shared" si="43"/>
        <v>2447209.6732794479</v>
      </c>
      <c r="O45" s="28">
        <f t="shared" si="44"/>
        <v>18546415.410231281</v>
      </c>
      <c r="P45" s="54">
        <f t="shared" si="68"/>
        <v>1.674470147613764</v>
      </c>
      <c r="Q45" s="54">
        <f t="shared" si="69"/>
        <v>0.77473532947885382</v>
      </c>
      <c r="R45" s="54">
        <f t="shared" si="70"/>
        <v>0.53490742370209743</v>
      </c>
      <c r="S45" s="28">
        <f t="shared" si="45"/>
        <v>468549.24083902076</v>
      </c>
      <c r="T45" s="28">
        <f t="shared" si="46"/>
        <v>1895939.7925319914</v>
      </c>
      <c r="U45" s="28">
        <f t="shared" si="47"/>
        <v>9920615.2859956939</v>
      </c>
      <c r="V45" s="28">
        <f t="shared" si="48"/>
        <v>2681297.6477367352</v>
      </c>
      <c r="W45" s="28">
        <f t="shared" si="49"/>
        <v>5556164.0979748648</v>
      </c>
      <c r="X45" s="28">
        <f t="shared" si="50"/>
        <v>17797280.777132429</v>
      </c>
      <c r="Y45" s="28">
        <f t="shared" si="71"/>
        <v>2919641.6996366321</v>
      </c>
      <c r="Z45" s="28">
        <f t="shared" si="72"/>
        <v>4818498.89406991</v>
      </c>
      <c r="AA45" s="28">
        <f t="shared" si="73"/>
        <v>10335827.408127321</v>
      </c>
      <c r="AB45" s="28">
        <f t="shared" si="51"/>
        <v>5556164.0979748648</v>
      </c>
      <c r="AC45" s="28">
        <f t="shared" si="52"/>
        <v>4818498.89406991</v>
      </c>
      <c r="AD45" s="39">
        <f t="shared" si="53"/>
        <v>1</v>
      </c>
      <c r="AE45" s="39">
        <f t="shared" si="54"/>
        <v>1</v>
      </c>
      <c r="AF45" s="39">
        <f t="shared" si="55"/>
        <v>1</v>
      </c>
      <c r="AG45" s="39">
        <f t="shared" si="56"/>
        <v>1</v>
      </c>
      <c r="AH45" s="39">
        <f t="shared" si="57"/>
        <v>1</v>
      </c>
      <c r="AI45" s="39">
        <f t="shared" si="58"/>
        <v>1</v>
      </c>
      <c r="AJ45" s="39">
        <f t="shared" si="59"/>
        <v>1</v>
      </c>
      <c r="AK45" s="39">
        <f t="shared" si="60"/>
        <v>1</v>
      </c>
    </row>
    <row r="46" spans="1:37" x14ac:dyDescent="0.25">
      <c r="A46" s="39">
        <f t="shared" si="61"/>
        <v>42</v>
      </c>
      <c r="B46" s="39">
        <f t="shared" si="37"/>
        <v>2068</v>
      </c>
      <c r="C46" s="39">
        <f t="shared" si="38"/>
        <v>72</v>
      </c>
      <c r="D46" s="28">
        <f t="shared" si="62"/>
        <v>2329259.6680104104</v>
      </c>
      <c r="E46" s="28">
        <f t="shared" si="63"/>
        <v>3908238.5114542544</v>
      </c>
      <c r="F46" s="28">
        <f t="shared" si="64"/>
        <v>8596514.2750116177</v>
      </c>
      <c r="G46" s="35">
        <f t="shared" si="39"/>
        <v>2.0000000000000004E-2</v>
      </c>
      <c r="H46" s="35">
        <f t="shared" si="40"/>
        <v>4.9999999999999989E-2</v>
      </c>
      <c r="I46" s="35">
        <f t="shared" si="41"/>
        <v>8.0000000000000016E-2</v>
      </c>
      <c r="J46" s="28">
        <f t="shared" si="65"/>
        <v>285415.79337014194</v>
      </c>
      <c r="K46" s="28">
        <f t="shared" si="66"/>
        <v>2569570.1569434204</v>
      </c>
      <c r="L46" s="28">
        <f t="shared" si="67"/>
        <v>20030128.643049784</v>
      </c>
      <c r="M46" s="28">
        <f t="shared" si="42"/>
        <v>285415.79337014194</v>
      </c>
      <c r="N46" s="28">
        <f t="shared" si="43"/>
        <v>2569570.1569434204</v>
      </c>
      <c r="O46" s="28">
        <f t="shared" si="44"/>
        <v>20030128.643049784</v>
      </c>
      <c r="P46" s="54">
        <f t="shared" si="68"/>
        <v>1.6933899135322428</v>
      </c>
      <c r="Q46" s="54">
        <f t="shared" si="69"/>
        <v>0.77683684828168098</v>
      </c>
      <c r="R46" s="54">
        <f t="shared" si="70"/>
        <v>0.53517701757721581</v>
      </c>
      <c r="S46" s="28">
        <f t="shared" si="45"/>
        <v>483320.22565580113</v>
      </c>
      <c r="T46" s="28">
        <f t="shared" si="46"/>
        <v>1996136.7821585911</v>
      </c>
      <c r="U46" s="28">
        <f t="shared" si="47"/>
        <v>10719664.508875348</v>
      </c>
      <c r="V46" s="28">
        <f t="shared" si="48"/>
        <v>2812579.8936662115</v>
      </c>
      <c r="W46" s="28">
        <f t="shared" si="49"/>
        <v>5904375.2936128452</v>
      </c>
      <c r="X46" s="28">
        <f t="shared" si="50"/>
        <v>19316178.783886965</v>
      </c>
      <c r="Y46" s="28">
        <f t="shared" si="71"/>
        <v>3073598.790020159</v>
      </c>
      <c r="Z46" s="28">
        <f t="shared" si="72"/>
        <v>5145270.4906943375</v>
      </c>
      <c r="AA46" s="28">
        <f t="shared" si="73"/>
        <v>11280761.323253362</v>
      </c>
      <c r="AB46" s="28">
        <f t="shared" si="51"/>
        <v>5904375.2936128452</v>
      </c>
      <c r="AC46" s="28">
        <f t="shared" si="52"/>
        <v>5145270.4906943375</v>
      </c>
      <c r="AD46" s="39">
        <f t="shared" si="53"/>
        <v>1</v>
      </c>
      <c r="AE46" s="39">
        <f t="shared" si="54"/>
        <v>1</v>
      </c>
      <c r="AF46" s="39">
        <f t="shared" si="55"/>
        <v>1</v>
      </c>
      <c r="AG46" s="39">
        <f t="shared" si="56"/>
        <v>1</v>
      </c>
      <c r="AH46" s="39">
        <f t="shared" si="57"/>
        <v>1</v>
      </c>
      <c r="AI46" s="39">
        <f t="shared" si="58"/>
        <v>1</v>
      </c>
      <c r="AJ46" s="39">
        <f t="shared" si="59"/>
        <v>1</v>
      </c>
      <c r="AK46" s="39">
        <f t="shared" si="60"/>
        <v>1</v>
      </c>
    </row>
    <row r="47" spans="1:37" x14ac:dyDescent="0.25">
      <c r="A47" s="39">
        <f t="shared" si="61"/>
        <v>43</v>
      </c>
      <c r="B47" s="39">
        <f t="shared" si="37"/>
        <v>2069</v>
      </c>
      <c r="C47" s="39">
        <f t="shared" si="38"/>
        <v>73</v>
      </c>
      <c r="D47" s="28">
        <f t="shared" si="62"/>
        <v>2451052.7729602153</v>
      </c>
      <c r="E47" s="28">
        <f t="shared" si="63"/>
        <v>4171960.2838463569</v>
      </c>
      <c r="F47" s="28">
        <f t="shared" si="64"/>
        <v>9380669.5502459891</v>
      </c>
      <c r="G47" s="35">
        <f t="shared" si="39"/>
        <v>2.0000000000000004E-2</v>
      </c>
      <c r="H47" s="35">
        <f t="shared" si="40"/>
        <v>4.9999999999999989E-2</v>
      </c>
      <c r="I47" s="35">
        <f t="shared" si="41"/>
        <v>8.0000000000000016E-2</v>
      </c>
      <c r="J47" s="28">
        <f t="shared" si="65"/>
        <v>291124.10923754476</v>
      </c>
      <c r="K47" s="28">
        <f t="shared" si="66"/>
        <v>2698048.6647905917</v>
      </c>
      <c r="L47" s="28">
        <f t="shared" si="67"/>
        <v>21632538.934493769</v>
      </c>
      <c r="M47" s="28">
        <f t="shared" si="42"/>
        <v>291124.10923754476</v>
      </c>
      <c r="N47" s="28">
        <f t="shared" si="43"/>
        <v>2698048.6647905917</v>
      </c>
      <c r="O47" s="28">
        <f t="shared" si="44"/>
        <v>21632538.934493769</v>
      </c>
      <c r="P47" s="54">
        <f t="shared" si="68"/>
        <v>1.7119387036483984</v>
      </c>
      <c r="Q47" s="54">
        <f t="shared" si="69"/>
        <v>0.77883829476056399</v>
      </c>
      <c r="R47" s="54">
        <f t="shared" si="70"/>
        <v>0.53542664153565878</v>
      </c>
      <c r="S47" s="28">
        <f t="shared" si="45"/>
        <v>498386.63016891712</v>
      </c>
      <c r="T47" s="28">
        <f t="shared" si="46"/>
        <v>2101343.621266521</v>
      </c>
      <c r="U47" s="28">
        <f t="shared" si="47"/>
        <v>11582637.669585377</v>
      </c>
      <c r="V47" s="28">
        <f t="shared" si="48"/>
        <v>2949439.4031291325</v>
      </c>
      <c r="W47" s="28">
        <f t="shared" si="49"/>
        <v>6273303.9051128775</v>
      </c>
      <c r="X47" s="28">
        <f t="shared" si="50"/>
        <v>20963307.219831366</v>
      </c>
      <c r="Y47" s="28">
        <f t="shared" si="71"/>
        <v>3234535.2685010727</v>
      </c>
      <c r="Z47" s="28">
        <f t="shared" si="72"/>
        <v>5492737.6217716448</v>
      </c>
      <c r="AA47" s="28">
        <f t="shared" si="73"/>
        <v>12310109.334797328</v>
      </c>
      <c r="AB47" s="28">
        <f t="shared" si="51"/>
        <v>6273303.9051128775</v>
      </c>
      <c r="AC47" s="28">
        <f t="shared" si="52"/>
        <v>5492737.6217716448</v>
      </c>
      <c r="AD47" s="39">
        <f t="shared" si="53"/>
        <v>1</v>
      </c>
      <c r="AE47" s="39">
        <f t="shared" si="54"/>
        <v>1</v>
      </c>
      <c r="AF47" s="39">
        <f t="shared" si="55"/>
        <v>1</v>
      </c>
      <c r="AG47" s="39">
        <f t="shared" si="56"/>
        <v>1</v>
      </c>
      <c r="AH47" s="39">
        <f t="shared" si="57"/>
        <v>1</v>
      </c>
      <c r="AI47" s="39">
        <f t="shared" si="58"/>
        <v>1</v>
      </c>
      <c r="AJ47" s="39">
        <f t="shared" si="59"/>
        <v>1</v>
      </c>
      <c r="AK47" s="39">
        <f t="shared" si="60"/>
        <v>1</v>
      </c>
    </row>
    <row r="48" spans="1:37" x14ac:dyDescent="0.25">
      <c r="A48" s="39">
        <f t="shared" si="61"/>
        <v>44</v>
      </c>
      <c r="B48" s="39">
        <f t="shared" si="37"/>
        <v>2070</v>
      </c>
      <c r="C48" s="39">
        <f t="shared" si="38"/>
        <v>74</v>
      </c>
      <c r="D48" s="28">
        <f t="shared" si="62"/>
        <v>2578367.1653344114</v>
      </c>
      <c r="E48" s="28">
        <f t="shared" si="63"/>
        <v>4452384.4351566257</v>
      </c>
      <c r="F48" s="28">
        <f t="shared" si="64"/>
        <v>10234876.030067964</v>
      </c>
      <c r="G48" s="35">
        <f t="shared" si="39"/>
        <v>2.0000000000000004E-2</v>
      </c>
      <c r="H48" s="35">
        <f t="shared" si="40"/>
        <v>4.9999999999999989E-2</v>
      </c>
      <c r="I48" s="35">
        <f t="shared" si="41"/>
        <v>8.0000000000000016E-2</v>
      </c>
      <c r="J48" s="28">
        <f t="shared" si="65"/>
        <v>296946.59142229566</v>
      </c>
      <c r="K48" s="28">
        <f t="shared" si="66"/>
        <v>2832951.0980301215</v>
      </c>
      <c r="L48" s="28">
        <f t="shared" si="67"/>
        <v>23363142.049253274</v>
      </c>
      <c r="M48" s="28">
        <f t="shared" si="42"/>
        <v>296946.59142229566</v>
      </c>
      <c r="N48" s="28">
        <f t="shared" si="43"/>
        <v>2832951.0980301215</v>
      </c>
      <c r="O48" s="28">
        <f t="shared" si="44"/>
        <v>23363142.049253274</v>
      </c>
      <c r="P48" s="54">
        <f t="shared" si="68"/>
        <v>1.7301237919975707</v>
      </c>
      <c r="Q48" s="54">
        <f t="shared" si="69"/>
        <v>0.78074443426426199</v>
      </c>
      <c r="R48" s="54">
        <f t="shared" si="70"/>
        <v>0.53565777483051336</v>
      </c>
      <c r="S48" s="28">
        <f t="shared" si="45"/>
        <v>513754.36277229548</v>
      </c>
      <c r="T48" s="28">
        <f t="shared" si="46"/>
        <v>2211810.8023298471</v>
      </c>
      <c r="U48" s="28">
        <f t="shared" si="47"/>
        <v>12514648.683152208</v>
      </c>
      <c r="V48" s="28">
        <f t="shared" si="48"/>
        <v>3092121.5281067071</v>
      </c>
      <c r="W48" s="28">
        <f t="shared" si="49"/>
        <v>6664195.2374864724</v>
      </c>
      <c r="X48" s="28">
        <f t="shared" si="50"/>
        <v>22749524.713220172</v>
      </c>
      <c r="Y48" s="28">
        <f t="shared" si="71"/>
        <v>3402767.5340064541</v>
      </c>
      <c r="Z48" s="28">
        <f t="shared" si="72"/>
        <v>5862211.0044838488</v>
      </c>
      <c r="AA48" s="28">
        <f t="shared" si="73"/>
        <v>13431412.435372556</v>
      </c>
      <c r="AB48" s="28">
        <f t="shared" si="51"/>
        <v>6664195.2374864724</v>
      </c>
      <c r="AC48" s="28">
        <f t="shared" si="52"/>
        <v>5862211.0044838488</v>
      </c>
      <c r="AD48" s="39">
        <f t="shared" si="53"/>
        <v>1</v>
      </c>
      <c r="AE48" s="39">
        <f t="shared" si="54"/>
        <v>1</v>
      </c>
      <c r="AF48" s="39">
        <f t="shared" si="55"/>
        <v>1</v>
      </c>
      <c r="AG48" s="39">
        <f t="shared" si="56"/>
        <v>1</v>
      </c>
      <c r="AH48" s="39">
        <f t="shared" si="57"/>
        <v>1</v>
      </c>
      <c r="AI48" s="39">
        <f t="shared" si="58"/>
        <v>1</v>
      </c>
      <c r="AJ48" s="39">
        <f t="shared" si="59"/>
        <v>1</v>
      </c>
      <c r="AK48" s="39">
        <f t="shared" si="60"/>
        <v>1</v>
      </c>
    </row>
    <row r="49" spans="1:37" x14ac:dyDescent="0.25">
      <c r="A49" s="39">
        <f t="shared" si="61"/>
        <v>45</v>
      </c>
      <c r="B49" s="39">
        <f t="shared" si="37"/>
        <v>2071</v>
      </c>
      <c r="C49" s="39">
        <f t="shared" si="38"/>
        <v>75</v>
      </c>
      <c r="D49" s="28">
        <f t="shared" si="62"/>
        <v>2711453.1434962377</v>
      </c>
      <c r="E49" s="28">
        <f t="shared" si="63"/>
        <v>4750568.7827165453</v>
      </c>
      <c r="F49" s="28">
        <f t="shared" si="64"/>
        <v>11165391.622087367</v>
      </c>
      <c r="G49" s="35">
        <f t="shared" si="39"/>
        <v>2.0000000000000004E-2</v>
      </c>
      <c r="H49" s="35">
        <f t="shared" si="40"/>
        <v>4.9999999999999989E-2</v>
      </c>
      <c r="I49" s="35">
        <f t="shared" si="41"/>
        <v>8.0000000000000016E-2</v>
      </c>
      <c r="J49" s="28">
        <f t="shared" si="65"/>
        <v>302885.52325074159</v>
      </c>
      <c r="K49" s="28">
        <f t="shared" si="66"/>
        <v>2974598.6529316278</v>
      </c>
      <c r="L49" s="28">
        <f t="shared" si="67"/>
        <v>25232193.413193539</v>
      </c>
      <c r="M49" s="28">
        <f t="shared" si="42"/>
        <v>302885.52325074159</v>
      </c>
      <c r="N49" s="28">
        <f t="shared" si="43"/>
        <v>2974598.6529316278</v>
      </c>
      <c r="O49" s="28">
        <f t="shared" si="44"/>
        <v>25232193.413193539</v>
      </c>
      <c r="P49" s="54">
        <f t="shared" si="68"/>
        <v>1.7479523099869552</v>
      </c>
      <c r="Q49" s="54">
        <f t="shared" si="69"/>
        <v>0.78255980522016488</v>
      </c>
      <c r="R49" s="54">
        <f t="shared" si="70"/>
        <v>0.53587178714056394</v>
      </c>
      <c r="S49" s="28">
        <f t="shared" si="45"/>
        <v>529429.45002774138</v>
      </c>
      <c r="T49" s="28">
        <f t="shared" si="46"/>
        <v>2327801.3424463393</v>
      </c>
      <c r="U49" s="28">
        <f t="shared" si="47"/>
        <v>13521220.577804387</v>
      </c>
      <c r="V49" s="28">
        <f t="shared" si="48"/>
        <v>3240882.5935239792</v>
      </c>
      <c r="W49" s="28">
        <f t="shared" si="49"/>
        <v>7078370.1251628846</v>
      </c>
      <c r="X49" s="28">
        <f t="shared" si="50"/>
        <v>24686612.199891753</v>
      </c>
      <c r="Y49" s="28">
        <f t="shared" si="71"/>
        <v>3578626.3288814127</v>
      </c>
      <c r="Z49" s="28">
        <f t="shared" si="72"/>
        <v>6255084.3681011591</v>
      </c>
      <c r="AA49" s="28">
        <f t="shared" si="73"/>
        <v>14652885.279599169</v>
      </c>
      <c r="AB49" s="28">
        <f t="shared" si="51"/>
        <v>7078370.1251628846</v>
      </c>
      <c r="AC49" s="28">
        <f t="shared" si="52"/>
        <v>6255084.3681011591</v>
      </c>
      <c r="AD49" s="39">
        <f t="shared" si="53"/>
        <v>1</v>
      </c>
      <c r="AE49" s="39">
        <f t="shared" si="54"/>
        <v>1</v>
      </c>
      <c r="AF49" s="39">
        <f t="shared" si="55"/>
        <v>1</v>
      </c>
      <c r="AG49" s="39">
        <f t="shared" si="56"/>
        <v>1</v>
      </c>
      <c r="AH49" s="39">
        <f t="shared" si="57"/>
        <v>1</v>
      </c>
      <c r="AI49" s="39">
        <f t="shared" si="58"/>
        <v>1</v>
      </c>
      <c r="AJ49" s="39">
        <f t="shared" si="59"/>
        <v>1</v>
      </c>
      <c r="AK49" s="39">
        <f t="shared" si="60"/>
        <v>1</v>
      </c>
    </row>
    <row r="50" spans="1:37" x14ac:dyDescent="0.25">
      <c r="A50" s="39">
        <f t="shared" si="61"/>
        <v>46</v>
      </c>
      <c r="B50" s="39">
        <f t="shared" si="37"/>
        <v>2072</v>
      </c>
      <c r="C50" s="39">
        <f t="shared" si="38"/>
        <v>76</v>
      </c>
      <c r="D50" s="28">
        <f t="shared" si="62"/>
        <v>2850572.352668067</v>
      </c>
      <c r="E50" s="28">
        <f t="shared" si="63"/>
        <v>5067638.1389552597</v>
      </c>
      <c r="F50" s="28">
        <f t="shared" si="64"/>
        <v>12179033.273660503</v>
      </c>
      <c r="G50" s="35">
        <f t="shared" si="39"/>
        <v>2.0000000000000004E-2</v>
      </c>
      <c r="H50" s="35">
        <f t="shared" si="40"/>
        <v>4.9999999999999989E-2</v>
      </c>
      <c r="I50" s="35">
        <f t="shared" si="41"/>
        <v>8.0000000000000016E-2</v>
      </c>
      <c r="J50" s="28">
        <f t="shared" si="65"/>
        <v>308943.23371575645</v>
      </c>
      <c r="K50" s="28">
        <f t="shared" si="66"/>
        <v>3123328.5855782093</v>
      </c>
      <c r="L50" s="28">
        <f t="shared" si="67"/>
        <v>27250768.886249024</v>
      </c>
      <c r="M50" s="28">
        <f t="shared" si="42"/>
        <v>308943.23371575645</v>
      </c>
      <c r="N50" s="28">
        <f t="shared" si="43"/>
        <v>3123328.5855782093</v>
      </c>
      <c r="O50" s="28">
        <f t="shared" si="44"/>
        <v>27250768.886249024</v>
      </c>
      <c r="P50" s="54">
        <f t="shared" si="68"/>
        <v>1.7654312491922342</v>
      </c>
      <c r="Q50" s="54">
        <f t="shared" si="69"/>
        <v>0.78428872994007237</v>
      </c>
      <c r="R50" s="54">
        <f t="shared" si="70"/>
        <v>0.536069946686907</v>
      </c>
      <c r="S50" s="28">
        <f t="shared" si="45"/>
        <v>545418.03902829625</v>
      </c>
      <c r="T50" s="28">
        <f t="shared" si="46"/>
        <v>2449591.4095686562</v>
      </c>
      <c r="U50" s="28">
        <f t="shared" si="47"/>
        <v>14608318.224028738</v>
      </c>
      <c r="V50" s="28">
        <f t="shared" si="48"/>
        <v>3395990.3916963632</v>
      </c>
      <c r="W50" s="28">
        <f t="shared" si="49"/>
        <v>7517229.5485239159</v>
      </c>
      <c r="X50" s="28">
        <f t="shared" si="50"/>
        <v>26787351.49768924</v>
      </c>
      <c r="Y50" s="28">
        <f t="shared" si="71"/>
        <v>3762457.3891240363</v>
      </c>
      <c r="Z50" s="28">
        <f t="shared" si="72"/>
        <v>6672839.7114142319</v>
      </c>
      <c r="AA50" s="28">
        <f t="shared" si="73"/>
        <v>15983476.364576694</v>
      </c>
      <c r="AB50" s="28">
        <f t="shared" si="51"/>
        <v>7517229.5485239159</v>
      </c>
      <c r="AC50" s="28">
        <f t="shared" si="52"/>
        <v>6672839.7114142319</v>
      </c>
      <c r="AD50" s="39">
        <f t="shared" si="53"/>
        <v>1</v>
      </c>
      <c r="AE50" s="39">
        <f t="shared" si="54"/>
        <v>1</v>
      </c>
      <c r="AF50" s="39">
        <f t="shared" si="55"/>
        <v>1</v>
      </c>
      <c r="AG50" s="39">
        <f t="shared" si="56"/>
        <v>1</v>
      </c>
      <c r="AH50" s="39">
        <f t="shared" si="57"/>
        <v>1</v>
      </c>
      <c r="AI50" s="39">
        <f t="shared" si="58"/>
        <v>1</v>
      </c>
      <c r="AJ50" s="39">
        <f t="shared" si="59"/>
        <v>1</v>
      </c>
      <c r="AK50" s="39">
        <f t="shared" si="60"/>
        <v>1</v>
      </c>
    </row>
    <row r="51" spans="1:37" x14ac:dyDescent="0.25">
      <c r="A51" s="39">
        <f t="shared" si="61"/>
        <v>47</v>
      </c>
      <c r="B51" s="39">
        <f t="shared" si="37"/>
        <v>2073</v>
      </c>
      <c r="C51" s="39">
        <f t="shared" si="38"/>
        <v>77</v>
      </c>
      <c r="D51" s="28">
        <f t="shared" si="62"/>
        <v>2995998.2993223523</v>
      </c>
      <c r="E51" s="28">
        <f t="shared" si="63"/>
        <v>5404788.554422426</v>
      </c>
      <c r="F51" s="28">
        <f t="shared" si="64"/>
        <v>13283226.912774174</v>
      </c>
      <c r="G51" s="35">
        <f t="shared" si="39"/>
        <v>2.0000000000000004E-2</v>
      </c>
      <c r="H51" s="35">
        <f t="shared" si="40"/>
        <v>4.9999999999999989E-2</v>
      </c>
      <c r="I51" s="35">
        <f t="shared" si="41"/>
        <v>8.0000000000000016E-2</v>
      </c>
      <c r="J51" s="28">
        <f t="shared" si="65"/>
        <v>315122.09839007159</v>
      </c>
      <c r="K51" s="28">
        <f t="shared" si="66"/>
        <v>3279495.0148571199</v>
      </c>
      <c r="L51" s="28">
        <f t="shared" si="67"/>
        <v>29430830.397148948</v>
      </c>
      <c r="M51" s="28">
        <f t="shared" si="42"/>
        <v>315122.09839007159</v>
      </c>
      <c r="N51" s="28">
        <f t="shared" si="43"/>
        <v>3279495.0148571199</v>
      </c>
      <c r="O51" s="28">
        <f t="shared" si="44"/>
        <v>29430830.397148948</v>
      </c>
      <c r="P51" s="54">
        <f t="shared" si="68"/>
        <v>1.7825674640993705</v>
      </c>
      <c r="Q51" s="54">
        <f t="shared" si="69"/>
        <v>0.78593532491141282</v>
      </c>
      <c r="R51" s="54">
        <f t="shared" si="70"/>
        <v>0.53625342774833584</v>
      </c>
      <c r="S51" s="28">
        <f t="shared" si="45"/>
        <v>561726.39980886225</v>
      </c>
      <c r="T51" s="28">
        <f t="shared" si="46"/>
        <v>2577470.980047089</v>
      </c>
      <c r="U51" s="28">
        <f t="shared" si="47"/>
        <v>15782383.68195104</v>
      </c>
      <c r="V51" s="28">
        <f t="shared" si="48"/>
        <v>3557724.6991312145</v>
      </c>
      <c r="W51" s="28">
        <f t="shared" si="49"/>
        <v>7982259.5344695151</v>
      </c>
      <c r="X51" s="28">
        <f t="shared" si="50"/>
        <v>29065610.594725214</v>
      </c>
      <c r="Y51" s="28">
        <f t="shared" si="71"/>
        <v>3954622.1240976588</v>
      </c>
      <c r="Z51" s="28">
        <f t="shared" si="72"/>
        <v>7117052.8931371327</v>
      </c>
      <c r="AA51" s="28">
        <f t="shared" si="73"/>
        <v>17432933.586478878</v>
      </c>
      <c r="AB51" s="28">
        <f t="shared" si="51"/>
        <v>7982259.5344695151</v>
      </c>
      <c r="AC51" s="28">
        <f t="shared" si="52"/>
        <v>7117052.8931371327</v>
      </c>
      <c r="AD51" s="39">
        <f t="shared" si="53"/>
        <v>1</v>
      </c>
      <c r="AE51" s="39">
        <f t="shared" si="54"/>
        <v>1</v>
      </c>
      <c r="AF51" s="39">
        <f t="shared" si="55"/>
        <v>1</v>
      </c>
      <c r="AG51" s="39">
        <f t="shared" si="56"/>
        <v>1</v>
      </c>
      <c r="AH51" s="39">
        <f t="shared" si="57"/>
        <v>1</v>
      </c>
      <c r="AI51" s="39">
        <f t="shared" si="58"/>
        <v>1</v>
      </c>
      <c r="AJ51" s="39">
        <f t="shared" si="59"/>
        <v>1</v>
      </c>
      <c r="AK51" s="39">
        <f t="shared" si="60"/>
        <v>1</v>
      </c>
    </row>
    <row r="52" spans="1:37" x14ac:dyDescent="0.25">
      <c r="A52" s="39">
        <f t="shared" si="61"/>
        <v>48</v>
      </c>
      <c r="B52" s="39">
        <f t="shared" si="37"/>
        <v>2074</v>
      </c>
      <c r="C52" s="39">
        <f t="shared" si="38"/>
        <v>78</v>
      </c>
      <c r="D52" s="28">
        <f t="shared" si="62"/>
        <v>3148016.8888916317</v>
      </c>
      <c r="E52" s="28">
        <f t="shared" si="63"/>
        <v>5763291.8295358457</v>
      </c>
      <c r="F52" s="28">
        <f t="shared" si="64"/>
        <v>14486061.850315332</v>
      </c>
      <c r="G52" s="35">
        <f t="shared" si="39"/>
        <v>2.0000000000000004E-2</v>
      </c>
      <c r="H52" s="35">
        <f t="shared" si="40"/>
        <v>4.9999999999999989E-2</v>
      </c>
      <c r="I52" s="35">
        <f t="shared" si="41"/>
        <v>8.0000000000000016E-2</v>
      </c>
      <c r="J52" s="28">
        <f t="shared" si="65"/>
        <v>321424.54035787302</v>
      </c>
      <c r="K52" s="28">
        <f t="shared" si="66"/>
        <v>3443469.7655999758</v>
      </c>
      <c r="L52" s="28">
        <f t="shared" si="67"/>
        <v>31785296.828920867</v>
      </c>
      <c r="M52" s="28">
        <f t="shared" si="42"/>
        <v>321424.54035787302</v>
      </c>
      <c r="N52" s="28">
        <f t="shared" si="43"/>
        <v>3443469.7655999758</v>
      </c>
      <c r="O52" s="28">
        <f t="shared" si="44"/>
        <v>31785296.828920867</v>
      </c>
      <c r="P52" s="54">
        <f t="shared" si="68"/>
        <v>1.7993676747926413</v>
      </c>
      <c r="Q52" s="54">
        <f t="shared" si="69"/>
        <v>0.78750351059840373</v>
      </c>
      <c r="R52" s="54">
        <f t="shared" si="70"/>
        <v>0.53642331762002915</v>
      </c>
      <c r="S52" s="28">
        <f t="shared" si="45"/>
        <v>578360.92780503945</v>
      </c>
      <c r="T52" s="28">
        <f t="shared" si="46"/>
        <v>2711744.5290494435</v>
      </c>
      <c r="U52" s="28">
        <f t="shared" si="47"/>
        <v>17050374.376507122</v>
      </c>
      <c r="V52" s="28">
        <f t="shared" si="48"/>
        <v>3726377.8166966713</v>
      </c>
      <c r="W52" s="28">
        <f t="shared" si="49"/>
        <v>8475036.3585852887</v>
      </c>
      <c r="X52" s="28">
        <f t="shared" si="50"/>
        <v>31536436.226822454</v>
      </c>
      <c r="Y52" s="28">
        <f t="shared" si="71"/>
        <v>4155498.3270567521</v>
      </c>
      <c r="Z52" s="28">
        <f t="shared" si="72"/>
        <v>7589399.5763691505</v>
      </c>
      <c r="AA52" s="28">
        <f t="shared" si="73"/>
        <v>19011875.653537657</v>
      </c>
      <c r="AB52" s="28">
        <f t="shared" si="51"/>
        <v>8475036.3585852887</v>
      </c>
      <c r="AC52" s="28">
        <f t="shared" si="52"/>
        <v>7589399.5763691505</v>
      </c>
      <c r="AD52" s="39">
        <f t="shared" si="53"/>
        <v>1</v>
      </c>
      <c r="AE52" s="39">
        <f t="shared" si="54"/>
        <v>1</v>
      </c>
      <c r="AF52" s="39">
        <f t="shared" si="55"/>
        <v>1</v>
      </c>
      <c r="AG52" s="39">
        <f t="shared" si="56"/>
        <v>1</v>
      </c>
      <c r="AH52" s="39">
        <f t="shared" si="57"/>
        <v>1</v>
      </c>
      <c r="AI52" s="39">
        <f t="shared" si="58"/>
        <v>1</v>
      </c>
      <c r="AJ52" s="39">
        <f t="shared" si="59"/>
        <v>1</v>
      </c>
      <c r="AK52" s="39">
        <f t="shared" si="60"/>
        <v>1</v>
      </c>
    </row>
    <row r="53" spans="1:37" x14ac:dyDescent="0.25">
      <c r="A53" s="39">
        <f t="shared" si="61"/>
        <v>49</v>
      </c>
      <c r="B53" s="39">
        <f t="shared" si="37"/>
        <v>2075</v>
      </c>
      <c r="C53" s="39">
        <f t="shared" si="38"/>
        <v>79</v>
      </c>
      <c r="D53" s="28">
        <f t="shared" si="62"/>
        <v>3306926.9878547187</v>
      </c>
      <c r="E53" s="28">
        <f t="shared" si="63"/>
        <v>6144500.3120731153</v>
      </c>
      <c r="F53" s="28">
        <f t="shared" si="64"/>
        <v>15796350.042276835</v>
      </c>
      <c r="G53" s="35">
        <f t="shared" si="39"/>
        <v>2.0000000000000004E-2</v>
      </c>
      <c r="H53" s="35">
        <f t="shared" si="40"/>
        <v>4.9999999999999989E-2</v>
      </c>
      <c r="I53" s="35">
        <f t="shared" si="41"/>
        <v>8.0000000000000016E-2</v>
      </c>
      <c r="J53" s="28">
        <f t="shared" si="65"/>
        <v>327853.03116503049</v>
      </c>
      <c r="K53" s="28">
        <f t="shared" si="66"/>
        <v>3615643.2538799746</v>
      </c>
      <c r="L53" s="28">
        <f t="shared" si="67"/>
        <v>34328120.57523454</v>
      </c>
      <c r="M53" s="28">
        <f t="shared" si="42"/>
        <v>327853.03116503049</v>
      </c>
      <c r="N53" s="28">
        <f t="shared" si="43"/>
        <v>3615643.2538799746</v>
      </c>
      <c r="O53" s="28">
        <f t="shared" si="44"/>
        <v>34328120.57523454</v>
      </c>
      <c r="P53" s="54">
        <f t="shared" si="68"/>
        <v>1.8158384695899656</v>
      </c>
      <c r="Q53" s="54">
        <f t="shared" si="69"/>
        <v>0.78899702077649037</v>
      </c>
      <c r="R53" s="54">
        <f t="shared" si="70"/>
        <v>0.53658062305678222</v>
      </c>
      <c r="S53" s="28">
        <f t="shared" si="45"/>
        <v>595328.1463611403</v>
      </c>
      <c r="T53" s="28">
        <f t="shared" si="46"/>
        <v>2852731.7555019157</v>
      </c>
      <c r="U53" s="28">
        <f t="shared" si="47"/>
        <v>18419804.326627694</v>
      </c>
      <c r="V53" s="28">
        <f t="shared" si="48"/>
        <v>3902255.1342158588</v>
      </c>
      <c r="W53" s="28">
        <f t="shared" si="49"/>
        <v>8997232.06757503</v>
      </c>
      <c r="X53" s="28">
        <f t="shared" si="50"/>
        <v>34216154.368904531</v>
      </c>
      <c r="Y53" s="28">
        <f t="shared" si="71"/>
        <v>4365480.9178833244</v>
      </c>
      <c r="Z53" s="28">
        <f t="shared" si="72"/>
        <v>8091661.5495391963</v>
      </c>
      <c r="AA53" s="28">
        <f t="shared" si="73"/>
        <v>20731869.878587019</v>
      </c>
      <c r="AB53" s="28">
        <f t="shared" si="51"/>
        <v>8997232.06757503</v>
      </c>
      <c r="AC53" s="28">
        <f t="shared" si="52"/>
        <v>8091661.5495391963</v>
      </c>
      <c r="AD53" s="39">
        <f t="shared" si="53"/>
        <v>1</v>
      </c>
      <c r="AE53" s="39">
        <f t="shared" si="54"/>
        <v>1</v>
      </c>
      <c r="AF53" s="39">
        <f t="shared" si="55"/>
        <v>1</v>
      </c>
      <c r="AG53" s="39">
        <f t="shared" si="56"/>
        <v>1</v>
      </c>
      <c r="AH53" s="39">
        <f t="shared" si="57"/>
        <v>1</v>
      </c>
      <c r="AI53" s="39">
        <f t="shared" si="58"/>
        <v>1</v>
      </c>
      <c r="AJ53" s="39">
        <f t="shared" si="59"/>
        <v>1</v>
      </c>
      <c r="AK53" s="39">
        <f t="shared" si="60"/>
        <v>1</v>
      </c>
    </row>
    <row r="54" spans="1:37" x14ac:dyDescent="0.25">
      <c r="A54" s="39">
        <f t="shared" si="61"/>
        <v>50</v>
      </c>
      <c r="B54" s="39">
        <f t="shared" si="37"/>
        <v>2076</v>
      </c>
      <c r="C54" s="39">
        <f t="shared" si="38"/>
        <v>80</v>
      </c>
      <c r="D54" s="28">
        <f t="shared" si="62"/>
        <v>3473041.0113041322</v>
      </c>
      <c r="E54" s="28">
        <f t="shared" si="63"/>
        <v>6549851.9985044124</v>
      </c>
      <c r="F54" s="28">
        <f t="shared" si="64"/>
        <v>17223690.646053564</v>
      </c>
      <c r="G54" s="35">
        <f t="shared" si="39"/>
        <v>2.0000000000000004E-2</v>
      </c>
      <c r="H54" s="35">
        <f t="shared" si="40"/>
        <v>4.9999999999999989E-2</v>
      </c>
      <c r="I54" s="35">
        <f t="shared" si="41"/>
        <v>8.0000000000000016E-2</v>
      </c>
      <c r="J54" s="28">
        <f t="shared" si="65"/>
        <v>334410.0917883311</v>
      </c>
      <c r="K54" s="28">
        <f t="shared" si="66"/>
        <v>3796425.4165739734</v>
      </c>
      <c r="L54" s="28">
        <f t="shared" si="67"/>
        <v>37074370.221253306</v>
      </c>
      <c r="M54" s="28">
        <f t="shared" si="42"/>
        <v>334410.0917883311</v>
      </c>
      <c r="N54" s="28">
        <f t="shared" si="43"/>
        <v>3796425.4165739734</v>
      </c>
      <c r="O54" s="28">
        <f t="shared" si="44"/>
        <v>37074370.221253306</v>
      </c>
      <c r="P54" s="54">
        <f t="shared" si="68"/>
        <v>1.8319863076265581</v>
      </c>
      <c r="Q54" s="54">
        <f t="shared" si="69"/>
        <v>0.79041941142228711</v>
      </c>
      <c r="R54" s="54">
        <f t="shared" si="70"/>
        <v>0.53672627623896096</v>
      </c>
      <c r="S54" s="28">
        <f t="shared" si="45"/>
        <v>612634.70928836311</v>
      </c>
      <c r="T54" s="28">
        <f t="shared" si="46"/>
        <v>3000768.3432770111</v>
      </c>
      <c r="U54" s="28">
        <f t="shared" si="47"/>
        <v>19898788.672757909</v>
      </c>
      <c r="V54" s="28">
        <f t="shared" si="48"/>
        <v>4085675.7205924951</v>
      </c>
      <c r="W54" s="28">
        <f t="shared" si="49"/>
        <v>9550620.3417814225</v>
      </c>
      <c r="X54" s="28">
        <f t="shared" si="50"/>
        <v>37122479.318811476</v>
      </c>
      <c r="Y54" s="28">
        <f t="shared" si="71"/>
        <v>4584982.7194940345</v>
      </c>
      <c r="Z54" s="28">
        <f t="shared" si="72"/>
        <v>8625733.4476766773</v>
      </c>
      <c r="AA54" s="28">
        <f t="shared" si="73"/>
        <v>22605516.921074126</v>
      </c>
      <c r="AB54" s="28">
        <f t="shared" si="51"/>
        <v>9550620.3417814225</v>
      </c>
      <c r="AC54" s="28">
        <f t="shared" si="52"/>
        <v>8625733.4476766773</v>
      </c>
      <c r="AD54" s="39">
        <f t="shared" si="53"/>
        <v>1</v>
      </c>
      <c r="AE54" s="39">
        <f t="shared" si="54"/>
        <v>1</v>
      </c>
      <c r="AF54" s="39">
        <f t="shared" si="55"/>
        <v>1</v>
      </c>
      <c r="AG54" s="39">
        <f t="shared" si="56"/>
        <v>1</v>
      </c>
      <c r="AH54" s="39">
        <f t="shared" si="57"/>
        <v>1</v>
      </c>
      <c r="AI54" s="39">
        <f t="shared" si="58"/>
        <v>1</v>
      </c>
      <c r="AJ54" s="39">
        <f t="shared" si="59"/>
        <v>1</v>
      </c>
      <c r="AK54" s="39">
        <f t="shared" si="60"/>
        <v>1</v>
      </c>
    </row>
    <row r="55" spans="1:37" x14ac:dyDescent="0.25">
      <c r="A55" s="39">
        <f t="shared" si="61"/>
        <v>51</v>
      </c>
      <c r="B55" s="39">
        <f t="shared" si="37"/>
        <v>2077</v>
      </c>
      <c r="C55" s="39">
        <f t="shared" si="38"/>
        <v>81</v>
      </c>
      <c r="D55" s="28">
        <f t="shared" si="62"/>
        <v>3646685.5371499192</v>
      </c>
      <c r="E55" s="28">
        <f t="shared" si="63"/>
        <v>6980875.9584096912</v>
      </c>
      <c r="F55" s="28">
        <f t="shared" si="64"/>
        <v>18778540.34376768</v>
      </c>
      <c r="G55" s="35">
        <f t="shared" si="39"/>
        <v>2.0000000000000004E-2</v>
      </c>
      <c r="H55" s="35">
        <f t="shared" si="40"/>
        <v>4.9999999999999989E-2</v>
      </c>
      <c r="I55" s="35">
        <f t="shared" si="41"/>
        <v>8.0000000000000016E-2</v>
      </c>
      <c r="J55" s="28">
        <f t="shared" si="65"/>
        <v>341098.29362409771</v>
      </c>
      <c r="K55" s="28">
        <f t="shared" si="66"/>
        <v>3986246.6874026721</v>
      </c>
      <c r="L55" s="28">
        <f t="shared" si="67"/>
        <v>40040319.83895357</v>
      </c>
      <c r="M55" s="28">
        <f t="shared" si="42"/>
        <v>341098.29362409771</v>
      </c>
      <c r="N55" s="28">
        <f t="shared" si="43"/>
        <v>3986246.6874026721</v>
      </c>
      <c r="O55" s="28">
        <f t="shared" si="44"/>
        <v>40040319.83895357</v>
      </c>
      <c r="P55" s="54">
        <f t="shared" si="68"/>
        <v>1.8478175213879233</v>
      </c>
      <c r="Q55" s="54">
        <f t="shared" si="69"/>
        <v>0.79177406918018878</v>
      </c>
      <c r="R55" s="54">
        <f t="shared" si="70"/>
        <v>0.53686114029653387</v>
      </c>
      <c r="S55" s="28">
        <f t="shared" si="45"/>
        <v>630287.40347413032</v>
      </c>
      <c r="T55" s="28">
        <f t="shared" si="46"/>
        <v>3156206.7604408618</v>
      </c>
      <c r="U55" s="28">
        <f t="shared" si="47"/>
        <v>21496091.76657854</v>
      </c>
      <c r="V55" s="28">
        <f t="shared" si="48"/>
        <v>4276972.9406240499</v>
      </c>
      <c r="W55" s="28">
        <f t="shared" si="49"/>
        <v>10137082.718850553</v>
      </c>
      <c r="X55" s="28">
        <f t="shared" si="50"/>
        <v>40274632.11034622</v>
      </c>
      <c r="Y55" s="28">
        <f t="shared" si="71"/>
        <v>4814435.2694444302</v>
      </c>
      <c r="Z55" s="28">
        <f t="shared" si="72"/>
        <v>9193629.8993628658</v>
      </c>
      <c r="AA55" s="28">
        <f t="shared" si="73"/>
        <v>24646543.099356744</v>
      </c>
      <c r="AB55" s="28">
        <f t="shared" si="51"/>
        <v>10137082.718850553</v>
      </c>
      <c r="AC55" s="28">
        <f t="shared" si="52"/>
        <v>9193629.8993628658</v>
      </c>
      <c r="AD55" s="39">
        <f t="shared" si="53"/>
        <v>1</v>
      </c>
      <c r="AE55" s="39">
        <f t="shared" si="54"/>
        <v>1</v>
      </c>
      <c r="AF55" s="39">
        <f t="shared" si="55"/>
        <v>1</v>
      </c>
      <c r="AG55" s="39">
        <f t="shared" si="56"/>
        <v>1</v>
      </c>
      <c r="AH55" s="39">
        <f t="shared" si="57"/>
        <v>1</v>
      </c>
      <c r="AI55" s="39">
        <f t="shared" si="58"/>
        <v>1</v>
      </c>
      <c r="AJ55" s="39">
        <f t="shared" si="59"/>
        <v>1</v>
      </c>
      <c r="AK55" s="39">
        <f t="shared" si="60"/>
        <v>1</v>
      </c>
    </row>
    <row r="56" spans="1:37" x14ac:dyDescent="0.25">
      <c r="A56" s="39">
        <f t="shared" si="61"/>
        <v>52</v>
      </c>
      <c r="B56" s="39">
        <f t="shared" si="37"/>
        <v>2078</v>
      </c>
      <c r="C56" s="39">
        <f t="shared" si="38"/>
        <v>82</v>
      </c>
      <c r="D56" s="28">
        <f t="shared" si="62"/>
        <v>3828201.9481673818</v>
      </c>
      <c r="E56" s="28">
        <f t="shared" si="63"/>
        <v>7439198.1024423046</v>
      </c>
      <c r="F56" s="28">
        <f t="shared" si="64"/>
        <v>20472289.947810926</v>
      </c>
      <c r="G56" s="35">
        <f t="shared" si="39"/>
        <v>2.0000000000000004E-2</v>
      </c>
      <c r="H56" s="35">
        <f t="shared" si="40"/>
        <v>4.9999999999999989E-2</v>
      </c>
      <c r="I56" s="35">
        <f t="shared" si="41"/>
        <v>8.0000000000000016E-2</v>
      </c>
      <c r="J56" s="28">
        <f t="shared" si="65"/>
        <v>347920.2594965797</v>
      </c>
      <c r="K56" s="28">
        <f t="shared" si="66"/>
        <v>4185559.0217728061</v>
      </c>
      <c r="L56" s="28">
        <f t="shared" si="67"/>
        <v>43243545.426069856</v>
      </c>
      <c r="M56" s="28">
        <f t="shared" si="42"/>
        <v>347920.2594965797</v>
      </c>
      <c r="N56" s="28">
        <f t="shared" si="43"/>
        <v>4185559.0217728061</v>
      </c>
      <c r="O56" s="28">
        <f t="shared" si="44"/>
        <v>43243545.426069856</v>
      </c>
      <c r="P56" s="54">
        <f t="shared" si="68"/>
        <v>1.8633383191931834</v>
      </c>
      <c r="Q56" s="54">
        <f t="shared" si="69"/>
        <v>0.7930642194258094</v>
      </c>
      <c r="R56" s="54">
        <f t="shared" si="70"/>
        <v>0.53698601442391625</v>
      </c>
      <c r="S56" s="28">
        <f t="shared" si="45"/>
        <v>648293.15154361306</v>
      </c>
      <c r="T56" s="28">
        <f t="shared" si="46"/>
        <v>3319417.0984629048</v>
      </c>
      <c r="U56" s="28">
        <f t="shared" si="47"/>
        <v>23221179.107904825</v>
      </c>
      <c r="V56" s="28">
        <f t="shared" si="48"/>
        <v>4476495.0997109953</v>
      </c>
      <c r="W56" s="28">
        <f t="shared" si="49"/>
        <v>10758615.200905209</v>
      </c>
      <c r="X56" s="28">
        <f t="shared" si="50"/>
        <v>43693469.055715755</v>
      </c>
      <c r="Y56" s="28">
        <f t="shared" si="71"/>
        <v>5054289.6683259103</v>
      </c>
      <c r="Z56" s="28">
        <f t="shared" si="72"/>
        <v>9797493.1263225134</v>
      </c>
      <c r="AA56" s="28">
        <f t="shared" si="73"/>
        <v>26869900.949565947</v>
      </c>
      <c r="AB56" s="28">
        <f t="shared" si="51"/>
        <v>10758615.200905209</v>
      </c>
      <c r="AC56" s="28">
        <f t="shared" si="52"/>
        <v>9797493.1263225134</v>
      </c>
      <c r="AD56" s="39">
        <f t="shared" si="53"/>
        <v>1</v>
      </c>
      <c r="AE56" s="39">
        <f t="shared" si="54"/>
        <v>1</v>
      </c>
      <c r="AF56" s="39">
        <f t="shared" si="55"/>
        <v>1</v>
      </c>
      <c r="AG56" s="39">
        <f t="shared" si="56"/>
        <v>1</v>
      </c>
      <c r="AH56" s="39">
        <f t="shared" si="57"/>
        <v>1</v>
      </c>
      <c r="AI56" s="39">
        <f t="shared" si="58"/>
        <v>1</v>
      </c>
      <c r="AJ56" s="39">
        <f t="shared" si="59"/>
        <v>1</v>
      </c>
      <c r="AK56" s="39">
        <f t="shared" si="60"/>
        <v>1</v>
      </c>
    </row>
    <row r="57" spans="1:37" x14ac:dyDescent="0.25">
      <c r="A57" s="39">
        <f t="shared" si="61"/>
        <v>53</v>
      </c>
      <c r="B57" s="39">
        <f t="shared" si="37"/>
        <v>2079</v>
      </c>
      <c r="C57" s="39">
        <f t="shared" si="38"/>
        <v>83</v>
      </c>
      <c r="D57" s="28">
        <f t="shared" si="62"/>
        <v>4017947.1031509694</v>
      </c>
      <c r="E57" s="28">
        <f t="shared" si="63"/>
        <v>7926547.3155969828</v>
      </c>
      <c r="F57" s="28">
        <f t="shared" si="64"/>
        <v>22317347.849815369</v>
      </c>
      <c r="G57" s="35">
        <f t="shared" si="39"/>
        <v>2.0000000000000004E-2</v>
      </c>
      <c r="H57" s="35">
        <f t="shared" si="40"/>
        <v>4.9999999999999989E-2</v>
      </c>
      <c r="I57" s="35">
        <f t="shared" si="41"/>
        <v>8.0000000000000016E-2</v>
      </c>
      <c r="J57" s="28">
        <f t="shared" si="65"/>
        <v>354878.66468651133</v>
      </c>
      <c r="K57" s="28">
        <f t="shared" si="66"/>
        <v>4394836.9728614464</v>
      </c>
      <c r="L57" s="28">
        <f t="shared" si="67"/>
        <v>46703029.060155444</v>
      </c>
      <c r="M57" s="28">
        <f t="shared" si="42"/>
        <v>354878.66468651133</v>
      </c>
      <c r="N57" s="28">
        <f t="shared" si="43"/>
        <v>4394836.9728614464</v>
      </c>
      <c r="O57" s="28">
        <f t="shared" si="44"/>
        <v>46703029.060155444</v>
      </c>
      <c r="P57" s="54">
        <f t="shared" si="68"/>
        <v>1.8785547876297128</v>
      </c>
      <c r="Q57" s="54">
        <f t="shared" si="69"/>
        <v>0.79429293394544809</v>
      </c>
      <c r="R57" s="54">
        <f t="shared" si="70"/>
        <v>0.53710163861593696</v>
      </c>
      <c r="S57" s="28">
        <f t="shared" si="45"/>
        <v>666659.01457448537</v>
      </c>
      <c r="T57" s="28">
        <f t="shared" si="46"/>
        <v>3490787.9533860497</v>
      </c>
      <c r="U57" s="28">
        <f t="shared" si="47"/>
        <v>25084273.43653721</v>
      </c>
      <c r="V57" s="28">
        <f t="shared" si="48"/>
        <v>4684606.1177254543</v>
      </c>
      <c r="W57" s="28">
        <f t="shared" si="49"/>
        <v>11417335.268983033</v>
      </c>
      <c r="X57" s="28">
        <f t="shared" si="50"/>
        <v>47401621.286352575</v>
      </c>
      <c r="Y57" s="28">
        <f t="shared" si="71"/>
        <v>5305017.466623351</v>
      </c>
      <c r="Z57" s="28">
        <f t="shared" si="72"/>
        <v>10439601.024322938</v>
      </c>
      <c r="AA57" s="28">
        <f t="shared" si="73"/>
        <v>29291878.76772717</v>
      </c>
      <c r="AB57" s="28">
        <f t="shared" si="51"/>
        <v>11417335.268983033</v>
      </c>
      <c r="AC57" s="28">
        <f t="shared" si="52"/>
        <v>10439601.024322938</v>
      </c>
      <c r="AD57" s="39">
        <f t="shared" si="53"/>
        <v>1</v>
      </c>
      <c r="AE57" s="39">
        <f t="shared" si="54"/>
        <v>1</v>
      </c>
      <c r="AF57" s="39">
        <f t="shared" si="55"/>
        <v>1</v>
      </c>
      <c r="AG57" s="39">
        <f t="shared" si="56"/>
        <v>1</v>
      </c>
      <c r="AH57" s="39">
        <f t="shared" si="57"/>
        <v>1</v>
      </c>
      <c r="AI57" s="39">
        <f t="shared" si="58"/>
        <v>1</v>
      </c>
      <c r="AJ57" s="39">
        <f t="shared" si="59"/>
        <v>1</v>
      </c>
      <c r="AK57" s="39">
        <f t="shared" si="60"/>
        <v>1</v>
      </c>
    </row>
    <row r="58" spans="1:37" x14ac:dyDescent="0.25">
      <c r="A58" s="39">
        <f t="shared" si="61"/>
        <v>54</v>
      </c>
      <c r="B58" s="39">
        <f t="shared" si="37"/>
        <v>2080</v>
      </c>
      <c r="C58" s="39">
        <f t="shared" si="38"/>
        <v>84</v>
      </c>
      <c r="D58" s="28">
        <f t="shared" si="62"/>
        <v>4216294.038493813</v>
      </c>
      <c r="E58" s="28">
        <f t="shared" si="63"/>
        <v>8444761.978918124</v>
      </c>
      <c r="F58" s="28">
        <f t="shared" si="64"/>
        <v>24327230.924398873</v>
      </c>
      <c r="G58" s="35">
        <f t="shared" si="39"/>
        <v>2.0000000000000004E-2</v>
      </c>
      <c r="H58" s="35">
        <f t="shared" si="40"/>
        <v>4.9999999999999989E-2</v>
      </c>
      <c r="I58" s="35">
        <f t="shared" si="41"/>
        <v>8.0000000000000016E-2</v>
      </c>
      <c r="J58" s="28">
        <f t="shared" si="65"/>
        <v>361976.23798024154</v>
      </c>
      <c r="K58" s="28">
        <f t="shared" si="66"/>
        <v>4614578.8215045193</v>
      </c>
      <c r="L58" s="28">
        <f t="shared" si="67"/>
        <v>50439271.384967886</v>
      </c>
      <c r="M58" s="28">
        <f t="shared" si="42"/>
        <v>361976.23798024154</v>
      </c>
      <c r="N58" s="28">
        <f t="shared" si="43"/>
        <v>4614578.8215045193</v>
      </c>
      <c r="O58" s="28">
        <f t="shared" si="44"/>
        <v>50439271.384967886</v>
      </c>
      <c r="P58" s="54">
        <f t="shared" si="68"/>
        <v>1.8934728939400358</v>
      </c>
      <c r="Q58" s="54">
        <f t="shared" si="69"/>
        <v>0.79546313824986592</v>
      </c>
      <c r="R58" s="54">
        <f t="shared" si="70"/>
        <v>0.53720869805299321</v>
      </c>
      <c r="S58" s="28">
        <f t="shared" si="45"/>
        <v>685392.19486597506</v>
      </c>
      <c r="T58" s="28">
        <f t="shared" si="46"/>
        <v>3670727.3510553529</v>
      </c>
      <c r="U58" s="28">
        <f t="shared" si="47"/>
        <v>27096415.311460193</v>
      </c>
      <c r="V58" s="28">
        <f t="shared" si="48"/>
        <v>4901686.2333597876</v>
      </c>
      <c r="W58" s="28">
        <f t="shared" si="49"/>
        <v>12115489.329973478</v>
      </c>
      <c r="X58" s="28">
        <f t="shared" si="50"/>
        <v>51423646.235859066</v>
      </c>
      <c r="Y58" s="28">
        <f t="shared" si="71"/>
        <v>5567111.5917769419</v>
      </c>
      <c r="Z58" s="28">
        <f t="shared" si="72"/>
        <v>11122375.755863391</v>
      </c>
      <c r="AA58" s="28">
        <f t="shared" si="73"/>
        <v>31930219.937644128</v>
      </c>
      <c r="AB58" s="28">
        <f t="shared" si="51"/>
        <v>12115489.329973478</v>
      </c>
      <c r="AC58" s="28">
        <f t="shared" si="52"/>
        <v>11122375.755863391</v>
      </c>
      <c r="AD58" s="39">
        <f t="shared" si="53"/>
        <v>1</v>
      </c>
      <c r="AE58" s="39">
        <f t="shared" si="54"/>
        <v>1</v>
      </c>
      <c r="AF58" s="39">
        <f t="shared" si="55"/>
        <v>1</v>
      </c>
      <c r="AG58" s="39">
        <f t="shared" si="56"/>
        <v>1</v>
      </c>
      <c r="AH58" s="39">
        <f t="shared" si="57"/>
        <v>1</v>
      </c>
      <c r="AI58" s="39">
        <f t="shared" si="58"/>
        <v>1</v>
      </c>
      <c r="AJ58" s="39">
        <f t="shared" si="59"/>
        <v>1</v>
      </c>
      <c r="AK58" s="39">
        <f t="shared" si="60"/>
        <v>1</v>
      </c>
    </row>
    <row r="59" spans="1:37" x14ac:dyDescent="0.25">
      <c r="A59" s="39">
        <f t="shared" si="61"/>
        <v>55</v>
      </c>
      <c r="B59" s="39">
        <f t="shared" si="37"/>
        <v>2081</v>
      </c>
      <c r="C59" s="39">
        <f t="shared" si="38"/>
        <v>85</v>
      </c>
      <c r="D59" s="28">
        <f t="shared" si="62"/>
        <v>4423632.7015721984</v>
      </c>
      <c r="E59" s="28">
        <f t="shared" si="63"/>
        <v>8995796.9042496048</v>
      </c>
      <c r="F59" s="28">
        <f t="shared" si="64"/>
        <v>26516663.553645171</v>
      </c>
      <c r="G59" s="35">
        <f t="shared" si="39"/>
        <v>2.0000000000000004E-2</v>
      </c>
      <c r="H59" s="35">
        <f t="shared" si="40"/>
        <v>4.9999999999999989E-2</v>
      </c>
      <c r="I59" s="35">
        <f t="shared" si="41"/>
        <v>8.0000000000000016E-2</v>
      </c>
      <c r="J59" s="28">
        <f t="shared" si="65"/>
        <v>369215.76273984637</v>
      </c>
      <c r="K59" s="28">
        <f t="shared" si="66"/>
        <v>4845307.7625797456</v>
      </c>
      <c r="L59" s="28">
        <f t="shared" si="67"/>
        <v>54474413.095765322</v>
      </c>
      <c r="M59" s="28">
        <f t="shared" si="42"/>
        <v>369215.76273984637</v>
      </c>
      <c r="N59" s="28">
        <f t="shared" si="43"/>
        <v>4845307.7625797456</v>
      </c>
      <c r="O59" s="28">
        <f t="shared" si="44"/>
        <v>54474413.095765322</v>
      </c>
      <c r="P59" s="54">
        <f t="shared" si="68"/>
        <v>1.908098488361921</v>
      </c>
      <c r="Q59" s="54">
        <f t="shared" si="69"/>
        <v>0.7965776185397877</v>
      </c>
      <c r="R59" s="54">
        <f t="shared" si="70"/>
        <v>0.53730782716137859</v>
      </c>
      <c r="S59" s="28">
        <f t="shared" si="45"/>
        <v>704500.03876329446</v>
      </c>
      <c r="T59" s="28">
        <f t="shared" si="46"/>
        <v>3859663.7186081209</v>
      </c>
      <c r="U59" s="28">
        <f t="shared" si="47"/>
        <v>29269528.536377013</v>
      </c>
      <c r="V59" s="28">
        <f t="shared" si="48"/>
        <v>5128132.7403354924</v>
      </c>
      <c r="W59" s="28">
        <f t="shared" si="49"/>
        <v>12855460.622857725</v>
      </c>
      <c r="X59" s="28">
        <f t="shared" si="50"/>
        <v>55786192.090022184</v>
      </c>
      <c r="Y59" s="28">
        <f t="shared" si="71"/>
        <v>5841087.3172708293</v>
      </c>
      <c r="Z59" s="28">
        <f t="shared" si="72"/>
        <v>11848392.88706807</v>
      </c>
      <c r="AA59" s="28">
        <f t="shared" si="73"/>
        <v>34804252.918740332</v>
      </c>
      <c r="AB59" s="28">
        <f t="shared" si="51"/>
        <v>12855460.622857725</v>
      </c>
      <c r="AC59" s="28">
        <f t="shared" si="52"/>
        <v>11848392.88706807</v>
      </c>
      <c r="AD59" s="39">
        <f t="shared" si="53"/>
        <v>1</v>
      </c>
      <c r="AE59" s="39">
        <f t="shared" si="54"/>
        <v>1</v>
      </c>
      <c r="AF59" s="39">
        <f t="shared" si="55"/>
        <v>1</v>
      </c>
      <c r="AG59" s="39">
        <f t="shared" si="56"/>
        <v>1</v>
      </c>
      <c r="AH59" s="39">
        <f t="shared" si="57"/>
        <v>1</v>
      </c>
      <c r="AI59" s="39">
        <f t="shared" si="58"/>
        <v>1</v>
      </c>
      <c r="AJ59" s="39">
        <f t="shared" si="59"/>
        <v>1</v>
      </c>
      <c r="AK59" s="39">
        <f t="shared" si="60"/>
        <v>1</v>
      </c>
    </row>
    <row r="60" spans="1:37" x14ac:dyDescent="0.25">
      <c r="A60" s="39">
        <f t="shared" si="61"/>
        <v>56</v>
      </c>
      <c r="B60" s="39">
        <f t="shared" si="37"/>
        <v>2082</v>
      </c>
      <c r="C60" s="39">
        <f t="shared" si="38"/>
        <v>86</v>
      </c>
      <c r="D60" s="28">
        <f t="shared" si="62"/>
        <v>4640370.717376804</v>
      </c>
      <c r="E60" s="28">
        <f t="shared" si="63"/>
        <v>9581730.708185412</v>
      </c>
      <c r="F60" s="28">
        <f t="shared" si="64"/>
        <v>28901685.497770805</v>
      </c>
      <c r="G60" s="35">
        <f t="shared" si="39"/>
        <v>2.0000000000000004E-2</v>
      </c>
      <c r="H60" s="35">
        <f t="shared" si="40"/>
        <v>4.9999999999999989E-2</v>
      </c>
      <c r="I60" s="35">
        <f t="shared" si="41"/>
        <v>8.0000000000000016E-2</v>
      </c>
      <c r="J60" s="28">
        <f t="shared" si="65"/>
        <v>376600.0779946433</v>
      </c>
      <c r="K60" s="28">
        <f t="shared" si="66"/>
        <v>5087573.1507087331</v>
      </c>
      <c r="L60" s="28">
        <f t="shared" si="67"/>
        <v>58832366.143426552</v>
      </c>
      <c r="M60" s="28">
        <f t="shared" si="42"/>
        <v>376600.0779946433</v>
      </c>
      <c r="N60" s="28">
        <f t="shared" si="43"/>
        <v>5087573.1507087331</v>
      </c>
      <c r="O60" s="28">
        <f t="shared" si="44"/>
        <v>58832366.143426552</v>
      </c>
      <c r="P60" s="54">
        <f t="shared" si="68"/>
        <v>1.9224373064225928</v>
      </c>
      <c r="Q60" s="54">
        <f t="shared" si="69"/>
        <v>0.79763902833971323</v>
      </c>
      <c r="R60" s="54">
        <f t="shared" si="70"/>
        <v>0.53739961337284659</v>
      </c>
      <c r="S60" s="28">
        <f t="shared" si="45"/>
        <v>723990.03953856044</v>
      </c>
      <c r="T60" s="28">
        <f t="shared" si="46"/>
        <v>4058046.9045385271</v>
      </c>
      <c r="U60" s="28">
        <f t="shared" si="47"/>
        <v>31616490.819287177</v>
      </c>
      <c r="V60" s="28">
        <f t="shared" si="48"/>
        <v>5364360.7569153644</v>
      </c>
      <c r="W60" s="28">
        <f t="shared" si="49"/>
        <v>13639777.612723939</v>
      </c>
      <c r="X60" s="28">
        <f t="shared" si="50"/>
        <v>60518176.317057982</v>
      </c>
      <c r="Y60" s="28">
        <f t="shared" si="71"/>
        <v>6127483.275653773</v>
      </c>
      <c r="Z60" s="28">
        <f t="shared" si="72"/>
        <v>12620391.103249047</v>
      </c>
      <c r="AA60" s="28">
        <f t="shared" si="73"/>
        <v>37935032.846147798</v>
      </c>
      <c r="AB60" s="28">
        <f t="shared" si="51"/>
        <v>13639777.612723939</v>
      </c>
      <c r="AC60" s="28">
        <f t="shared" si="52"/>
        <v>12620391.103249047</v>
      </c>
      <c r="AD60" s="39">
        <f t="shared" si="53"/>
        <v>1</v>
      </c>
      <c r="AE60" s="39">
        <f t="shared" si="54"/>
        <v>1</v>
      </c>
      <c r="AF60" s="39">
        <f t="shared" si="55"/>
        <v>1</v>
      </c>
      <c r="AG60" s="39">
        <f t="shared" si="56"/>
        <v>1</v>
      </c>
      <c r="AH60" s="39">
        <f t="shared" si="57"/>
        <v>1</v>
      </c>
      <c r="AI60" s="39">
        <f t="shared" si="58"/>
        <v>1</v>
      </c>
      <c r="AJ60" s="39">
        <f t="shared" si="59"/>
        <v>1</v>
      </c>
      <c r="AK60" s="39">
        <f t="shared" si="60"/>
        <v>1</v>
      </c>
    </row>
    <row r="61" spans="1:37" x14ac:dyDescent="0.25">
      <c r="A61" s="39">
        <f t="shared" si="61"/>
        <v>57</v>
      </c>
      <c r="B61" s="39">
        <f t="shared" si="37"/>
        <v>2083</v>
      </c>
      <c r="C61" s="39">
        <f t="shared" si="38"/>
        <v>87</v>
      </c>
      <c r="D61" s="28">
        <f t="shared" si="62"/>
        <v>4866934.1898978855</v>
      </c>
      <c r="E61" s="28">
        <f t="shared" si="63"/>
        <v>10204773.653037153</v>
      </c>
      <c r="F61" s="28">
        <f t="shared" si="64"/>
        <v>31499769.402238328</v>
      </c>
      <c r="G61" s="35">
        <f t="shared" si="39"/>
        <v>2.0000000000000004E-2</v>
      </c>
      <c r="H61" s="35">
        <f t="shared" si="40"/>
        <v>4.9999999999999989E-2</v>
      </c>
      <c r="I61" s="35">
        <f t="shared" si="41"/>
        <v>8.0000000000000016E-2</v>
      </c>
      <c r="J61" s="28">
        <f t="shared" si="65"/>
        <v>384132.07955453615</v>
      </c>
      <c r="K61" s="28">
        <f t="shared" si="66"/>
        <v>5341951.8082441697</v>
      </c>
      <c r="L61" s="28">
        <f t="shared" si="67"/>
        <v>63538955.434900679</v>
      </c>
      <c r="M61" s="28">
        <f t="shared" si="42"/>
        <v>384132.07955453615</v>
      </c>
      <c r="N61" s="28">
        <f t="shared" si="43"/>
        <v>5341951.8082441697</v>
      </c>
      <c r="O61" s="28">
        <f t="shared" si="44"/>
        <v>63538955.434900679</v>
      </c>
      <c r="P61" s="54">
        <f t="shared" si="68"/>
        <v>1.9364949711879573</v>
      </c>
      <c r="Q61" s="54">
        <f t="shared" si="69"/>
        <v>0.79864989481583271</v>
      </c>
      <c r="R61" s="54">
        <f t="shared" si="70"/>
        <v>0.53748460060568726</v>
      </c>
      <c r="S61" s="28">
        <f t="shared" si="45"/>
        <v>743869.84032933158</v>
      </c>
      <c r="T61" s="28">
        <f t="shared" si="46"/>
        <v>4266349.2497654539</v>
      </c>
      <c r="U61" s="28">
        <f t="shared" si="47"/>
        <v>34151210.08483015</v>
      </c>
      <c r="V61" s="28">
        <f t="shared" si="48"/>
        <v>5610804.0302272169</v>
      </c>
      <c r="W61" s="28">
        <f t="shared" si="49"/>
        <v>14471122.902802607</v>
      </c>
      <c r="X61" s="28">
        <f t="shared" si="50"/>
        <v>65650979.487068474</v>
      </c>
      <c r="Y61" s="28">
        <f t="shared" si="71"/>
        <v>6426862.5174834104</v>
      </c>
      <c r="Z61" s="28">
        <f t="shared" si="72"/>
        <v>13441282.539788153</v>
      </c>
      <c r="AA61" s="28">
        <f t="shared" si="73"/>
        <v>41345495.780403666</v>
      </c>
      <c r="AB61" s="28">
        <f t="shared" si="51"/>
        <v>14471122.902802607</v>
      </c>
      <c r="AC61" s="28">
        <f t="shared" si="52"/>
        <v>13441282.539788153</v>
      </c>
      <c r="AD61" s="39">
        <f t="shared" si="53"/>
        <v>1</v>
      </c>
      <c r="AE61" s="39">
        <f t="shared" si="54"/>
        <v>1</v>
      </c>
      <c r="AF61" s="39">
        <f t="shared" si="55"/>
        <v>1</v>
      </c>
      <c r="AG61" s="39">
        <f t="shared" si="56"/>
        <v>1</v>
      </c>
      <c r="AH61" s="39">
        <f t="shared" si="57"/>
        <v>1</v>
      </c>
      <c r="AI61" s="39">
        <f t="shared" si="58"/>
        <v>1</v>
      </c>
      <c r="AJ61" s="39">
        <f t="shared" si="59"/>
        <v>1</v>
      </c>
      <c r="AK61" s="39">
        <f t="shared" si="60"/>
        <v>1</v>
      </c>
    </row>
    <row r="62" spans="1:37" x14ac:dyDescent="0.25">
      <c r="A62" s="39">
        <f t="shared" si="61"/>
        <v>58</v>
      </c>
      <c r="B62" s="39">
        <f t="shared" si="37"/>
        <v>2084</v>
      </c>
      <c r="C62" s="39">
        <f t="shared" si="38"/>
        <v>88</v>
      </c>
      <c r="D62" s="28">
        <f t="shared" si="62"/>
        <v>5103768.5398399225</v>
      </c>
      <c r="E62" s="28">
        <f t="shared" si="63"/>
        <v>10867275.984396173</v>
      </c>
      <c r="F62" s="28">
        <f t="shared" si="64"/>
        <v>34329948.802171618</v>
      </c>
      <c r="G62" s="35">
        <f t="shared" si="39"/>
        <v>2.0000000000000004E-2</v>
      </c>
      <c r="H62" s="35">
        <f t="shared" si="40"/>
        <v>4.9999999999999989E-2</v>
      </c>
      <c r="I62" s="35">
        <f t="shared" si="41"/>
        <v>8.0000000000000016E-2</v>
      </c>
      <c r="J62" s="28">
        <f t="shared" si="65"/>
        <v>391814.72114562686</v>
      </c>
      <c r="K62" s="28">
        <f t="shared" si="66"/>
        <v>5609049.3986563785</v>
      </c>
      <c r="L62" s="28">
        <f t="shared" si="67"/>
        <v>68622071.869692743</v>
      </c>
      <c r="M62" s="28">
        <f t="shared" si="42"/>
        <v>391814.72114562686</v>
      </c>
      <c r="N62" s="28">
        <f t="shared" si="43"/>
        <v>5609049.3986563785</v>
      </c>
      <c r="O62" s="28">
        <f t="shared" si="44"/>
        <v>68622071.869692743</v>
      </c>
      <c r="P62" s="54">
        <f t="shared" si="68"/>
        <v>1.9502769954677264</v>
      </c>
      <c r="Q62" s="54">
        <f t="shared" si="69"/>
        <v>0.79961262479308937</v>
      </c>
      <c r="R62" s="54">
        <f t="shared" si="70"/>
        <v>0.53756329248794721</v>
      </c>
      <c r="S62" s="28">
        <f t="shared" si="45"/>
        <v>764147.23713591823</v>
      </c>
      <c r="T62" s="28">
        <f t="shared" si="46"/>
        <v>4485066.7122537261</v>
      </c>
      <c r="U62" s="28">
        <f t="shared" si="47"/>
        <v>36888706.891616575</v>
      </c>
      <c r="V62" s="28">
        <f t="shared" si="48"/>
        <v>5867915.7769758403</v>
      </c>
      <c r="W62" s="28">
        <f t="shared" si="49"/>
        <v>15352342.696649898</v>
      </c>
      <c r="X62" s="28">
        <f t="shared" si="50"/>
        <v>71218655.693788201</v>
      </c>
      <c r="Y62" s="28">
        <f t="shared" si="71"/>
        <v>6739813.6182759907</v>
      </c>
      <c r="Z62" s="28">
        <f t="shared" si="72"/>
        <v>14314163.767308068</v>
      </c>
      <c r="AA62" s="28">
        <f t="shared" si="73"/>
        <v>45060626.736786388</v>
      </c>
      <c r="AB62" s="28">
        <f t="shared" si="51"/>
        <v>15352342.696649898</v>
      </c>
      <c r="AC62" s="28">
        <f t="shared" si="52"/>
        <v>14314163.767308068</v>
      </c>
      <c r="AD62" s="39">
        <f t="shared" si="53"/>
        <v>1</v>
      </c>
      <c r="AE62" s="39">
        <f t="shared" si="54"/>
        <v>1</v>
      </c>
      <c r="AF62" s="39">
        <f t="shared" si="55"/>
        <v>1</v>
      </c>
      <c r="AG62" s="39">
        <f t="shared" si="56"/>
        <v>1</v>
      </c>
      <c r="AH62" s="39">
        <f t="shared" si="57"/>
        <v>1</v>
      </c>
      <c r="AI62" s="39">
        <f t="shared" si="58"/>
        <v>1</v>
      </c>
      <c r="AJ62" s="39">
        <f t="shared" si="59"/>
        <v>1</v>
      </c>
      <c r="AK62" s="39">
        <f t="shared" si="60"/>
        <v>1</v>
      </c>
    </row>
    <row r="63" spans="1:37" x14ac:dyDescent="0.25">
      <c r="A63" s="39">
        <f t="shared" si="61"/>
        <v>59</v>
      </c>
      <c r="B63" s="39">
        <f t="shared" si="37"/>
        <v>2085</v>
      </c>
      <c r="C63" s="39">
        <f t="shared" si="38"/>
        <v>89</v>
      </c>
      <c r="D63" s="28">
        <f t="shared" si="62"/>
        <v>5351339.3803126654</v>
      </c>
      <c r="E63" s="28">
        <f t="shared" si="63"/>
        <v>11571736.796741262</v>
      </c>
      <c r="F63" s="28">
        <f t="shared" si="64"/>
        <v>37412957.561832279</v>
      </c>
      <c r="G63" s="35">
        <f t="shared" si="39"/>
        <v>2.0000000000000004E-2</v>
      </c>
      <c r="H63" s="35">
        <f t="shared" si="40"/>
        <v>4.9999999999999989E-2</v>
      </c>
      <c r="I63" s="35">
        <f t="shared" si="41"/>
        <v>8.0000000000000016E-2</v>
      </c>
      <c r="J63" s="28">
        <f t="shared" si="65"/>
        <v>399651.01556853938</v>
      </c>
      <c r="K63" s="28">
        <f t="shared" si="66"/>
        <v>5889501.8685891973</v>
      </c>
      <c r="L63" s="28">
        <f t="shared" si="67"/>
        <v>74111837.619268164</v>
      </c>
      <c r="M63" s="28">
        <f t="shared" si="42"/>
        <v>399651.01556853938</v>
      </c>
      <c r="N63" s="28">
        <f t="shared" si="43"/>
        <v>5889501.8685891973</v>
      </c>
      <c r="O63" s="28">
        <f t="shared" si="44"/>
        <v>74111837.619268164</v>
      </c>
      <c r="P63" s="54">
        <f t="shared" si="68"/>
        <v>1.9637887839773041</v>
      </c>
      <c r="Q63" s="54">
        <f t="shared" si="69"/>
        <v>0.80052951048571475</v>
      </c>
      <c r="R63" s="54">
        <f t="shared" si="70"/>
        <v>0.53763615534189158</v>
      </c>
      <c r="S63" s="28">
        <f t="shared" si="45"/>
        <v>784830.18187863659</v>
      </c>
      <c r="T63" s="28">
        <f t="shared" si="46"/>
        <v>4714720.0478664124</v>
      </c>
      <c r="U63" s="28">
        <f t="shared" si="47"/>
        <v>39845203.442945905</v>
      </c>
      <c r="V63" s="28">
        <f t="shared" si="48"/>
        <v>6136169.562191302</v>
      </c>
      <c r="W63" s="28">
        <f t="shared" si="49"/>
        <v>16286456.844607674</v>
      </c>
      <c r="X63" s="28">
        <f t="shared" si="50"/>
        <v>77258161.004778177</v>
      </c>
      <c r="Y63" s="28">
        <f t="shared" si="71"/>
        <v>7066951.8356378349</v>
      </c>
      <c r="Z63" s="28">
        <f t="shared" si="72"/>
        <v>15242327.472570911</v>
      </c>
      <c r="AA63" s="28">
        <f t="shared" si="73"/>
        <v>49107642.725272633</v>
      </c>
      <c r="AB63" s="28">
        <f t="shared" si="51"/>
        <v>16286456.844607674</v>
      </c>
      <c r="AC63" s="28">
        <f t="shared" si="52"/>
        <v>15242327.472570911</v>
      </c>
      <c r="AD63" s="39">
        <f t="shared" si="53"/>
        <v>1</v>
      </c>
      <c r="AE63" s="39">
        <f t="shared" si="54"/>
        <v>1</v>
      </c>
      <c r="AF63" s="39">
        <f t="shared" si="55"/>
        <v>1</v>
      </c>
      <c r="AG63" s="39">
        <f t="shared" si="56"/>
        <v>1</v>
      </c>
      <c r="AH63" s="39">
        <f t="shared" si="57"/>
        <v>1</v>
      </c>
      <c r="AI63" s="39">
        <f t="shared" si="58"/>
        <v>1</v>
      </c>
      <c r="AJ63" s="39">
        <f t="shared" si="59"/>
        <v>1</v>
      </c>
      <c r="AK63" s="39">
        <f t="shared" si="60"/>
        <v>1</v>
      </c>
    </row>
    <row r="64" spans="1:37" x14ac:dyDescent="0.25">
      <c r="A64" s="39">
        <f t="shared" si="61"/>
        <v>60</v>
      </c>
      <c r="B64" s="39">
        <f t="shared" si="37"/>
        <v>2086</v>
      </c>
      <c r="C64" s="39">
        <f t="shared" si="38"/>
        <v>90</v>
      </c>
      <c r="D64" s="28">
        <f t="shared" si="62"/>
        <v>5610133.4322201721</v>
      </c>
      <c r="E64" s="28">
        <f t="shared" si="63"/>
        <v>12320813.460534874</v>
      </c>
      <c r="F64" s="28">
        <f t="shared" si="64"/>
        <v>40771381.770689294</v>
      </c>
      <c r="G64" s="35">
        <f t="shared" si="39"/>
        <v>2.0000000000000004E-2</v>
      </c>
      <c r="H64" s="35">
        <f t="shared" si="40"/>
        <v>4.9999999999999989E-2</v>
      </c>
      <c r="I64" s="35">
        <f t="shared" si="41"/>
        <v>8.0000000000000016E-2</v>
      </c>
      <c r="J64" s="28">
        <f t="shared" si="65"/>
        <v>407644.03587991017</v>
      </c>
      <c r="K64" s="28">
        <f t="shared" si="66"/>
        <v>6183976.9620186575</v>
      </c>
      <c r="L64" s="28">
        <f t="shared" si="67"/>
        <v>80040784.628809616</v>
      </c>
      <c r="M64" s="28">
        <f t="shared" si="42"/>
        <v>407644.03587991017</v>
      </c>
      <c r="N64" s="28">
        <f t="shared" si="43"/>
        <v>6183976.9620186575</v>
      </c>
      <c r="O64" s="28">
        <f t="shared" si="44"/>
        <v>80040784.628809616</v>
      </c>
      <c r="P64" s="54">
        <f t="shared" si="68"/>
        <v>1.977035635457282</v>
      </c>
      <c r="Q64" s="54">
        <f t="shared" si="69"/>
        <v>0.80140273495488179</v>
      </c>
      <c r="R64" s="54">
        <f t="shared" si="70"/>
        <v>0.53770362094739566</v>
      </c>
      <c r="S64" s="28">
        <f t="shared" si="45"/>
        <v>805926.78551620932</v>
      </c>
      <c r="T64" s="28">
        <f t="shared" si="46"/>
        <v>4955856.0502597336</v>
      </c>
      <c r="U64" s="28">
        <f t="shared" si="47"/>
        <v>43038219.718381576</v>
      </c>
      <c r="V64" s="28">
        <f t="shared" si="48"/>
        <v>6416060.2177363811</v>
      </c>
      <c r="W64" s="28">
        <f t="shared" si="49"/>
        <v>17276669.51079461</v>
      </c>
      <c r="X64" s="28">
        <f t="shared" si="50"/>
        <v>83809601.489070863</v>
      </c>
      <c r="Y64" s="28">
        <f t="shared" si="71"/>
        <v>7408920.3188534155</v>
      </c>
      <c r="Z64" s="28">
        <f t="shared" si="72"/>
        <v>16229274.879167067</v>
      </c>
      <c r="AA64" s="28">
        <f t="shared" si="73"/>
        <v>53516192.142063655</v>
      </c>
      <c r="AB64" s="28">
        <f t="shared" si="51"/>
        <v>17276669.51079461</v>
      </c>
      <c r="AC64" s="28">
        <f t="shared" si="52"/>
        <v>16229274.879167067</v>
      </c>
      <c r="AD64" s="39">
        <f t="shared" si="53"/>
        <v>1</v>
      </c>
      <c r="AE64" s="39">
        <f t="shared" si="54"/>
        <v>1</v>
      </c>
      <c r="AF64" s="39">
        <f t="shared" si="55"/>
        <v>1</v>
      </c>
      <c r="AG64" s="39">
        <f t="shared" si="56"/>
        <v>1</v>
      </c>
      <c r="AH64" s="39">
        <f t="shared" si="57"/>
        <v>1</v>
      </c>
      <c r="AI64" s="39">
        <f t="shared" si="58"/>
        <v>1</v>
      </c>
      <c r="AJ64" s="39">
        <f t="shared" si="59"/>
        <v>1</v>
      </c>
      <c r="AK64" s="39">
        <f t="shared" si="60"/>
        <v>1</v>
      </c>
    </row>
    <row r="66" spans="1:1" x14ac:dyDescent="0.25">
      <c r="A66" s="10" t="s">
        <v>37</v>
      </c>
    </row>
  </sheetData>
  <sheetProtection sheet="1"/>
  <mergeCells count="1">
    <mergeCell ref="A1:L1"/>
  </mergeCells>
  <pageMargins left="0.75" right="0.75" top="1" bottom="1" header="0.5" footer="0.5"/>
  <pageSetup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44546A"/>
    <pageSetUpPr fitToPage="1"/>
  </sheetPr>
  <dimension ref="A1:D3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34" customWidth="1"/>
    <col min="2" max="2" width="48" customWidth="1"/>
    <col min="3" max="3" width="42" customWidth="1"/>
  </cols>
  <sheetData>
    <row r="1" spans="1:4" ht="24" customHeight="1" x14ac:dyDescent="0.25">
      <c r="A1" s="59" t="s">
        <v>475</v>
      </c>
      <c r="B1" s="60"/>
      <c r="C1" s="60"/>
      <c r="D1" s="60"/>
    </row>
    <row r="2" spans="1:4" x14ac:dyDescent="0.25">
      <c r="A2" s="10" t="s">
        <v>476</v>
      </c>
      <c r="D2" s="9" t="str">
        <f>HYPERLINK("#Dashboard!A1","&lt; Dashboard")</f>
        <v>&lt; Dashboard</v>
      </c>
    </row>
    <row r="4" spans="1:4" x14ac:dyDescent="0.25">
      <c r="A4" s="2" t="s">
        <v>477</v>
      </c>
      <c r="B4" s="2" t="s">
        <v>478</v>
      </c>
      <c r="C4" s="2" t="s">
        <v>479</v>
      </c>
    </row>
    <row r="5" spans="1:4" x14ac:dyDescent="0.25">
      <c r="A5" s="5" t="s">
        <v>480</v>
      </c>
      <c r="B5" s="5" t="s">
        <v>481</v>
      </c>
      <c r="C5" s="5" t="s">
        <v>482</v>
      </c>
    </row>
    <row r="6" spans="1:4" x14ac:dyDescent="0.25">
      <c r="A6" s="5" t="s">
        <v>483</v>
      </c>
      <c r="B6" s="5" t="s">
        <v>484</v>
      </c>
      <c r="C6" s="5" t="s">
        <v>485</v>
      </c>
    </row>
    <row r="7" spans="1:4" x14ac:dyDescent="0.25">
      <c r="A7" s="5" t="s">
        <v>486</v>
      </c>
      <c r="B7" s="5" t="s">
        <v>487</v>
      </c>
      <c r="C7" s="5" t="s">
        <v>488</v>
      </c>
    </row>
    <row r="8" spans="1:4" x14ac:dyDescent="0.25">
      <c r="A8" s="5" t="s">
        <v>489</v>
      </c>
      <c r="B8" s="5" t="s">
        <v>490</v>
      </c>
      <c r="C8" s="5" t="s">
        <v>491</v>
      </c>
    </row>
    <row r="9" spans="1:4" x14ac:dyDescent="0.25">
      <c r="A9" s="5" t="s">
        <v>492</v>
      </c>
      <c r="B9" s="5" t="s">
        <v>493</v>
      </c>
      <c r="C9" s="5" t="s">
        <v>494</v>
      </c>
    </row>
    <row r="10" spans="1:4" x14ac:dyDescent="0.25">
      <c r="A10" s="5" t="s">
        <v>495</v>
      </c>
      <c r="B10" s="5" t="s">
        <v>496</v>
      </c>
      <c r="C10" s="5" t="s">
        <v>497</v>
      </c>
    </row>
    <row r="11" spans="1:4" x14ac:dyDescent="0.25">
      <c r="A11" s="5" t="s">
        <v>498</v>
      </c>
      <c r="B11" s="5" t="s">
        <v>499</v>
      </c>
      <c r="C11" s="5" t="s">
        <v>500</v>
      </c>
    </row>
    <row r="12" spans="1:4" x14ac:dyDescent="0.25">
      <c r="A12" s="5" t="s">
        <v>501</v>
      </c>
      <c r="B12" s="5" t="s">
        <v>502</v>
      </c>
      <c r="C12" s="5" t="s">
        <v>503</v>
      </c>
    </row>
    <row r="13" spans="1:4" x14ac:dyDescent="0.25">
      <c r="A13" s="5" t="s">
        <v>504</v>
      </c>
      <c r="B13" s="5" t="s">
        <v>505</v>
      </c>
      <c r="C13" s="5" t="s">
        <v>506</v>
      </c>
    </row>
    <row r="14" spans="1:4" x14ac:dyDescent="0.25">
      <c r="A14" s="5" t="s">
        <v>507</v>
      </c>
      <c r="B14" s="5" t="s">
        <v>508</v>
      </c>
      <c r="C14" s="5" t="s">
        <v>509</v>
      </c>
    </row>
    <row r="15" spans="1:4" x14ac:dyDescent="0.25">
      <c r="A15" s="5" t="s">
        <v>510</v>
      </c>
      <c r="B15" s="5" t="s">
        <v>511</v>
      </c>
      <c r="C15" s="5" t="s">
        <v>512</v>
      </c>
    </row>
    <row r="16" spans="1:4" x14ac:dyDescent="0.25">
      <c r="A16" s="5" t="s">
        <v>513</v>
      </c>
      <c r="B16" s="5" t="s">
        <v>514</v>
      </c>
      <c r="C16" s="5" t="s">
        <v>515</v>
      </c>
    </row>
    <row r="17" spans="1:3" x14ac:dyDescent="0.25">
      <c r="A17" s="5" t="s">
        <v>516</v>
      </c>
      <c r="B17" s="5" t="s">
        <v>517</v>
      </c>
      <c r="C17" s="5" t="s">
        <v>518</v>
      </c>
    </row>
    <row r="18" spans="1:3" x14ac:dyDescent="0.25">
      <c r="A18" s="5" t="s">
        <v>519</v>
      </c>
      <c r="B18" s="5" t="s">
        <v>520</v>
      </c>
      <c r="C18" s="5" t="s">
        <v>521</v>
      </c>
    </row>
    <row r="19" spans="1:3" x14ac:dyDescent="0.25">
      <c r="A19" s="5" t="s">
        <v>522</v>
      </c>
      <c r="B19" s="5" t="s">
        <v>523</v>
      </c>
      <c r="C19" s="5" t="s">
        <v>524</v>
      </c>
    </row>
    <row r="20" spans="1:3" x14ac:dyDescent="0.25">
      <c r="A20" s="5" t="s">
        <v>525</v>
      </c>
      <c r="B20" s="5" t="s">
        <v>526</v>
      </c>
      <c r="C20" s="5" t="s">
        <v>527</v>
      </c>
    </row>
    <row r="21" spans="1:3" x14ac:dyDescent="0.25">
      <c r="A21" s="5" t="s">
        <v>528</v>
      </c>
      <c r="B21" s="5" t="s">
        <v>529</v>
      </c>
      <c r="C21" s="5" t="s">
        <v>530</v>
      </c>
    </row>
    <row r="22" spans="1:3" x14ac:dyDescent="0.25">
      <c r="A22" s="5" t="s">
        <v>531</v>
      </c>
      <c r="B22" s="5" t="s">
        <v>532</v>
      </c>
      <c r="C22" s="5" t="s">
        <v>533</v>
      </c>
    </row>
    <row r="23" spans="1:3" x14ac:dyDescent="0.25">
      <c r="A23" s="5" t="s">
        <v>534</v>
      </c>
      <c r="B23" s="5" t="s">
        <v>535</v>
      </c>
      <c r="C23" s="5" t="s">
        <v>536</v>
      </c>
    </row>
    <row r="24" spans="1:3" x14ac:dyDescent="0.25">
      <c r="A24" s="5" t="s">
        <v>537</v>
      </c>
      <c r="B24" s="5" t="s">
        <v>538</v>
      </c>
      <c r="C24" s="5" t="s">
        <v>539</v>
      </c>
    </row>
    <row r="25" spans="1:3" x14ac:dyDescent="0.25">
      <c r="A25" s="5" t="s">
        <v>540</v>
      </c>
      <c r="B25" s="5" t="s">
        <v>541</v>
      </c>
      <c r="C25" s="5" t="s">
        <v>542</v>
      </c>
    </row>
    <row r="26" spans="1:3" x14ac:dyDescent="0.25">
      <c r="A26" s="5" t="s">
        <v>543</v>
      </c>
      <c r="B26" s="5" t="s">
        <v>544</v>
      </c>
      <c r="C26" s="5" t="s">
        <v>545</v>
      </c>
    </row>
    <row r="27" spans="1:3" x14ac:dyDescent="0.25">
      <c r="A27" s="5" t="s">
        <v>546</v>
      </c>
      <c r="B27" s="5" t="s">
        <v>547</v>
      </c>
      <c r="C27" s="5" t="s">
        <v>548</v>
      </c>
    </row>
    <row r="28" spans="1:3" x14ac:dyDescent="0.25">
      <c r="A28" s="5" t="s">
        <v>549</v>
      </c>
      <c r="B28" s="5" t="s">
        <v>550</v>
      </c>
      <c r="C28" s="5" t="s">
        <v>551</v>
      </c>
    </row>
    <row r="29" spans="1:3" x14ac:dyDescent="0.25">
      <c r="A29" s="5" t="s">
        <v>552</v>
      </c>
      <c r="B29" s="5" t="s">
        <v>553</v>
      </c>
      <c r="C29" s="5" t="s">
        <v>554</v>
      </c>
    </row>
    <row r="30" spans="1:3" x14ac:dyDescent="0.25">
      <c r="A30" s="5" t="s">
        <v>555</v>
      </c>
      <c r="B30" s="5" t="s">
        <v>556</v>
      </c>
      <c r="C30" s="5" t="s">
        <v>557</v>
      </c>
    </row>
    <row r="32" spans="1:3" x14ac:dyDescent="0.25">
      <c r="A32" s="10" t="s">
        <v>37</v>
      </c>
    </row>
  </sheetData>
  <sheetProtection sheet="1"/>
  <mergeCells count="1">
    <mergeCell ref="A1:D1"/>
  </mergeCells>
  <pageMargins left="0.75" right="0.75" top="1" bottom="1" header="0.5" footer="0.5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931A"/>
    <pageSetUpPr fitToPage="1"/>
  </sheetPr>
  <dimension ref="A1:K43"/>
  <sheetViews>
    <sheetView showGridLines="0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36" customWidth="1"/>
    <col min="2" max="2" width="18" customWidth="1"/>
    <col min="3" max="3" width="22" customWidth="1"/>
    <col min="4" max="4" width="12" customWidth="1"/>
    <col min="5" max="5" width="22" customWidth="1"/>
  </cols>
  <sheetData>
    <row r="1" spans="1:11" ht="24" customHeight="1" x14ac:dyDescent="0.25">
      <c r="A1" s="59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5" t="s">
        <v>39</v>
      </c>
      <c r="B2" s="11">
        <f>DataAsOf</f>
        <v>46205</v>
      </c>
    </row>
    <row r="3" spans="1:11" x14ac:dyDescent="0.25">
      <c r="A3" s="10" t="s">
        <v>40</v>
      </c>
    </row>
    <row r="4" spans="1:11" x14ac:dyDescent="0.25">
      <c r="A4" s="57" t="s">
        <v>41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x14ac:dyDescent="0.25">
      <c r="A5" s="12" t="s">
        <v>42</v>
      </c>
      <c r="B5" s="4" t="s">
        <v>43</v>
      </c>
      <c r="C5" s="10" t="s">
        <v>44</v>
      </c>
    </row>
    <row r="6" spans="1:11" x14ac:dyDescent="0.25">
      <c r="A6" s="12" t="s">
        <v>45</v>
      </c>
      <c r="B6" s="4" t="s">
        <v>46</v>
      </c>
      <c r="C6" s="10" t="s">
        <v>47</v>
      </c>
    </row>
    <row r="7" spans="1:11" x14ac:dyDescent="0.25">
      <c r="A7" s="12" t="s">
        <v>48</v>
      </c>
      <c r="B7" s="4" t="s">
        <v>49</v>
      </c>
      <c r="C7" s="10" t="s">
        <v>50</v>
      </c>
    </row>
    <row r="8" spans="1:11" ht="20.100000000000001" customHeight="1" x14ac:dyDescent="0.25">
      <c r="A8" s="61" t="str">
        <f>"At a "&amp;TEXT(SavingsRate,"0.0%")&amp;" savings rate, "&amp;IF(ISNUMBER(IF(IncludeBTC="Yes",'FIRE &amp; Retirement'!B15,'FIRE &amp; Retirement'!B16)),"you reach FI at age "&amp;IF(IncludeBTC="Yes",'FIRE &amp; Retirement'!B15,'FIRE &amp; Retirement'!B16),"FI lands beyond this projection")&amp;" - "&amp;ScenarioSelected&amp;" scenario, Bitcoin "&amp;IF(IncludeBTC="Yes","included","excluded")&amp;"."</f>
        <v>At a 36.7% savings rate, you reach FI at age 45 - Base scenario, Bitcoin included.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25">
      <c r="A9" s="57" t="s">
        <v>51</v>
      </c>
      <c r="B9" s="58"/>
      <c r="C9" s="58"/>
    </row>
    <row r="10" spans="1:11" ht="18" customHeight="1" x14ac:dyDescent="0.25">
      <c r="A10" s="5" t="s">
        <v>52</v>
      </c>
      <c r="B10" s="13">
        <f>NetWorthLatest</f>
        <v>76516</v>
      </c>
    </row>
    <row r="11" spans="1:11" ht="18" customHeight="1" x14ac:dyDescent="0.25">
      <c r="A11" s="5" t="s">
        <v>53</v>
      </c>
      <c r="B11" s="14">
        <f>SavingsRate</f>
        <v>0.36666666666666664</v>
      </c>
    </row>
    <row r="12" spans="1:11" ht="18" customHeight="1" x14ac:dyDescent="0.25">
      <c r="A12" s="5" t="s">
        <v>54</v>
      </c>
      <c r="B12" s="13">
        <f>MonthlySurplus</f>
        <v>400</v>
      </c>
    </row>
    <row r="13" spans="1:11" ht="18" customHeight="1" x14ac:dyDescent="0.25">
      <c r="A13" s="5" t="s">
        <v>55</v>
      </c>
      <c r="B13" s="15">
        <f>IF(MonthlyExpenses=0,0,CashOnHand/MonthlyExpenses)</f>
        <v>3.1578947368421053</v>
      </c>
    </row>
    <row r="14" spans="1:11" ht="18" customHeight="1" x14ac:dyDescent="0.25">
      <c r="A14" s="5" t="s">
        <v>56</v>
      </c>
      <c r="B14" s="16" t="str">
        <f>IF(DebtFreeMonths=0,"Debt-free now",TEXT(EDATE(DataAsOf,ROUNDUP(DebtFreeMonths,0)),"mmm yyyy"))</f>
        <v>Dec 2030</v>
      </c>
    </row>
    <row r="15" spans="1:11" ht="18" customHeight="1" x14ac:dyDescent="0.25">
      <c r="A15" s="5" t="s">
        <v>57</v>
      </c>
      <c r="B15" s="13">
        <f>FINumber</f>
        <v>912000</v>
      </c>
    </row>
    <row r="16" spans="1:11" ht="18" customHeight="1" x14ac:dyDescent="0.25">
      <c r="A16" s="5" t="s">
        <v>58</v>
      </c>
      <c r="B16" s="17">
        <f>IF(FINumber=0,0,(StartPortfolio+BTCStack*BTCPriceSeed)/FINumber)</f>
        <v>8.2254824561403497E-2</v>
      </c>
    </row>
    <row r="17" spans="1:3" ht="18" customHeight="1" x14ac:dyDescent="0.3">
      <c r="A17" s="12" t="s">
        <v>59</v>
      </c>
      <c r="B17" s="18">
        <f>IF(IncludeBTC="Yes",WithBTCSelTarget,NoBTCSelTarget)</f>
        <v>1433925.1495890557</v>
      </c>
    </row>
    <row r="18" spans="1:3" ht="18" customHeight="1" x14ac:dyDescent="0.25">
      <c r="A18" s="5" t="s">
        <v>60</v>
      </c>
      <c r="B18" s="19">
        <f>'FIRE &amp; Retirement'!B15</f>
        <v>45</v>
      </c>
    </row>
    <row r="19" spans="1:3" ht="18" customHeight="1" x14ac:dyDescent="0.25">
      <c r="A19" s="5" t="s">
        <v>61</v>
      </c>
      <c r="B19" s="19">
        <f>'FIRE &amp; Retirement'!B16</f>
        <v>48</v>
      </c>
    </row>
    <row r="20" spans="1:3" ht="18" customHeight="1" x14ac:dyDescent="0.25">
      <c r="A20" s="5" t="s">
        <v>62</v>
      </c>
      <c r="B20" s="20">
        <f>BTCStack</f>
        <v>0.25</v>
      </c>
    </row>
    <row r="21" spans="1:3" ht="18" customHeight="1" x14ac:dyDescent="0.25">
      <c r="A21" s="5" t="s">
        <v>63</v>
      </c>
      <c r="B21" s="21">
        <f>BTCStack*100000000</f>
        <v>25000000</v>
      </c>
    </row>
    <row r="22" spans="1:3" ht="18" customHeight="1" x14ac:dyDescent="0.25">
      <c r="A22" s="5" t="s">
        <v>64</v>
      </c>
      <c r="B22" s="22">
        <f>BTCStack*BTCPriceSeed</f>
        <v>15016.4</v>
      </c>
    </row>
    <row r="24" spans="1:3" x14ac:dyDescent="0.25">
      <c r="A24" s="57" t="s">
        <v>65</v>
      </c>
      <c r="B24" s="58"/>
      <c r="C24" s="58"/>
    </row>
    <row r="25" spans="1:3" x14ac:dyDescent="0.25">
      <c r="A25" s="5" t="s">
        <v>66</v>
      </c>
      <c r="B25" s="12" t="str">
        <f>IF(AllPass,"ALL CHECKS PASS","CHECK FAILURES - open the Checks tab")</f>
        <v>ALL CHECKS PASS</v>
      </c>
    </row>
    <row r="27" spans="1:3" x14ac:dyDescent="0.25">
      <c r="A27" s="57" t="s">
        <v>67</v>
      </c>
      <c r="B27" s="58"/>
      <c r="C27" s="58"/>
    </row>
    <row r="28" spans="1:3" x14ac:dyDescent="0.25">
      <c r="A28" s="5" t="s">
        <v>68</v>
      </c>
      <c r="B28" s="23">
        <f>MIN(1,IF(EFMonths*MonthlyExpenses=0,1,CashOnHand/(EFMonths*MonthlyExpenses)))</f>
        <v>0.52631578947368418</v>
      </c>
      <c r="C28" s="24" t="str">
        <f t="shared" ref="C28:C33" si="0">REPT("■",ROUND(B28*20,0))&amp;REPT("□",20-ROUND(B28*20,0))</f>
        <v>■■■■■■■■■■■□□□□□□□□□</v>
      </c>
    </row>
    <row r="29" spans="1:3" x14ac:dyDescent="0.25">
      <c r="A29" s="5" t="s">
        <v>69</v>
      </c>
      <c r="B29" s="23">
        <f>MIN(1,MAX(0,NetWorthLatest/10000))</f>
        <v>1</v>
      </c>
      <c r="C29" s="24" t="str">
        <f t="shared" si="0"/>
        <v>■■■■■■■■■■■■■■■■■■■■</v>
      </c>
    </row>
    <row r="30" spans="1:3" x14ac:dyDescent="0.25">
      <c r="A30" s="5" t="s">
        <v>70</v>
      </c>
      <c r="B30" s="23">
        <f>MIN(1,MAX(0,NetWorthLatest/100000))</f>
        <v>0.76515999999999995</v>
      </c>
      <c r="C30" s="24" t="str">
        <f t="shared" si="0"/>
        <v>■■■■■■■■■■■■■■■□□□□□</v>
      </c>
    </row>
    <row r="31" spans="1:3" x14ac:dyDescent="0.25">
      <c r="A31" s="5" t="s">
        <v>71</v>
      </c>
      <c r="B31" s="23">
        <f>MIN(1,MAX(0,NetWorthLatest/1000000))</f>
        <v>7.6516000000000001E-2</v>
      </c>
      <c r="C31" s="24" t="str">
        <f t="shared" si="0"/>
        <v>■■□□□□□□□□□□□□□□□□□□</v>
      </c>
    </row>
    <row r="32" spans="1:3" x14ac:dyDescent="0.25">
      <c r="A32" s="5" t="s">
        <v>72</v>
      </c>
      <c r="B32" s="23">
        <f>MIN(1,IF(FINumber=0,1,(StartPortfolio+BTCStack*BTCPriceSeed)/FINumber))</f>
        <v>8.2254824561403497E-2</v>
      </c>
      <c r="C32" s="24" t="str">
        <f t="shared" si="0"/>
        <v>■■□□□□□□□□□□□□□□□□□□</v>
      </c>
    </row>
    <row r="33" spans="1:11" x14ac:dyDescent="0.25">
      <c r="A33" s="5" t="s">
        <v>73</v>
      </c>
      <c r="B33" s="23">
        <f>MIN(1,IF(Assumptions!$B$28=0,1,BTCStack/Assumptions!$B$28))</f>
        <v>0.25</v>
      </c>
      <c r="C33" s="24" t="str">
        <f t="shared" si="0"/>
        <v>■■■■■□□□□□□□□□□□□□□□</v>
      </c>
    </row>
    <row r="35" spans="1:11" x14ac:dyDescent="0.25">
      <c r="A35" s="57" t="s">
        <v>74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1:11" x14ac:dyDescent="0.25">
      <c r="A36" s="9" t="str">
        <f>HYPERLINK("#'Budget &amp; Cash Flow'!A1","Budget &amp; Cash Flow")</f>
        <v>Budget &amp; Cash Flow</v>
      </c>
      <c r="C36" s="9" t="str">
        <f>HYPERLINK("#'Debt Center'!A1","Debt Center")</f>
        <v>Debt Center</v>
      </c>
      <c r="E36" s="9" t="str">
        <f>HYPERLINK("#'Family &amp; Life'!A1","Family &amp; Life")</f>
        <v>Family &amp; Life</v>
      </c>
    </row>
    <row r="37" spans="1:11" x14ac:dyDescent="0.25">
      <c r="A37" s="9" t="str">
        <f>HYPERLINK("#'Assumptions'!A1","Assumptions")</f>
        <v>Assumptions</v>
      </c>
      <c r="C37" s="9" t="str">
        <f>HYPERLINK("#'Credit Cards'!A1","Credit Cards")</f>
        <v>Credit Cards</v>
      </c>
      <c r="E37" s="9" t="str">
        <f>HYPERLINK("#'Macro &amp; Inflation'!A1","Macro &amp; Inflation")</f>
        <v>Macro &amp; Inflation</v>
      </c>
    </row>
    <row r="38" spans="1:11" x14ac:dyDescent="0.25">
      <c r="A38" s="9" t="str">
        <f>HYPERLINK("#'Net Worth Tracker'!A1","Net Worth Tracker")</f>
        <v>Net Worth Tracker</v>
      </c>
      <c r="C38" s="9" t="str">
        <f>HYPERLINK("#'Housing'!A1","Housing")</f>
        <v>Housing</v>
      </c>
      <c r="E38" s="9" t="str">
        <f>HYPERLINK("#'Scenario Comparison'!A1","Scenario Comparison")</f>
        <v>Scenario Comparison</v>
      </c>
    </row>
    <row r="39" spans="1:11" x14ac:dyDescent="0.25">
      <c r="A39" s="9" t="str">
        <f>HYPERLINK("#'FIRE &amp; Retirement'!A1","FIRE &amp; Retirement")</f>
        <v>FIRE &amp; Retirement</v>
      </c>
      <c r="C39" s="9" t="str">
        <f>HYPERLINK("#'Investing'!A1","Investing")</f>
        <v>Investing</v>
      </c>
      <c r="E39" s="9" t="str">
        <f>HYPERLINK("#'Site Tool Library'!A1","Site Tool Library")</f>
        <v>Site Tool Library</v>
      </c>
    </row>
    <row r="40" spans="1:11" x14ac:dyDescent="0.25">
      <c r="A40" s="9" t="str">
        <f>HYPERLINK("#'Retirement Drawdown'!A1","Retirement Drawdown")</f>
        <v>Retirement Drawdown</v>
      </c>
      <c r="C40" s="9" t="str">
        <f>HYPERLINK("#'Bitcoin'!A1","Bitcoin")</f>
        <v>Bitcoin</v>
      </c>
      <c r="E40" s="9" t="str">
        <f>HYPERLINK("#'Site Data'!A1","Site Data")</f>
        <v>Site Data</v>
      </c>
    </row>
    <row r="41" spans="1:11" x14ac:dyDescent="0.25">
      <c r="A41" s="9" t="str">
        <f>HYPERLINK("#'Tax Center'!A1","Tax Center")</f>
        <v>Tax Center</v>
      </c>
      <c r="C41" s="9" t="str">
        <f>HYPERLINK("#'Career &amp; Decisions'!A1","Career &amp; Decisions")</f>
        <v>Career &amp; Decisions</v>
      </c>
      <c r="E41" s="9" t="str">
        <f>HYPERLINK("#'Checks'!A1","Checks")</f>
        <v>Checks</v>
      </c>
    </row>
    <row r="43" spans="1:11" x14ac:dyDescent="0.25">
      <c r="A43" s="10" t="s">
        <v>37</v>
      </c>
    </row>
  </sheetData>
  <sheetProtection sheet="1" objects="1" scenarios="1"/>
  <mergeCells count="7">
    <mergeCell ref="A35:K35"/>
    <mergeCell ref="A4:K4"/>
    <mergeCell ref="A9:C9"/>
    <mergeCell ref="A27:C27"/>
    <mergeCell ref="A1:K1"/>
    <mergeCell ref="A24:C24"/>
    <mergeCell ref="A8:K8"/>
  </mergeCells>
  <conditionalFormatting sqref="B11">
    <cfRule type="cellIs" dxfId="12" priority="1" operator="greaterThanOrEqual">
      <formula>0.2</formula>
    </cfRule>
    <cfRule type="cellIs" dxfId="11" priority="2" operator="between">
      <formula>0.1</formula>
      <formula>0.2</formula>
    </cfRule>
    <cfRule type="cellIs" dxfId="10" priority="3" operator="lessThan">
      <formula>0.1</formula>
    </cfRule>
  </conditionalFormatting>
  <conditionalFormatting sqref="B13">
    <cfRule type="cellIs" dxfId="9" priority="4" operator="greaterThanOrEqual">
      <formula>6</formula>
    </cfRule>
    <cfRule type="cellIs" dxfId="8" priority="5" operator="between">
      <formula>3</formula>
      <formula>6</formula>
    </cfRule>
    <cfRule type="cellIs" dxfId="7" priority="6" operator="lessThan">
      <formula>3</formula>
    </cfRule>
  </conditionalFormatting>
  <conditionalFormatting sqref="B28:B33">
    <cfRule type="dataBar" priority="7">
      <dataBar>
        <cfvo type="num" val="0"/>
        <cfvo type="num" val="1"/>
        <color rgb="FFF7931A"/>
      </dataBar>
    </cfRule>
  </conditionalFormatting>
  <dataValidations count="3">
    <dataValidation type="list" errorStyle="warning" allowBlank="1" showInputMessage="1" showErrorMessage="1" promptTitle="Scenario" prompt="Conservative, Base, or Aggressive - each carries its own return and inflation seeds (see Assumptions)." sqref="B5" xr:uid="{00000000-0002-0000-0100-000000000000}">
      <formula1>"Conservative,Base,Aggressive"</formula1>
    </dataValidation>
    <dataValidation type="list" errorStyle="warning" allowBlank="1" showInputMessage="1" showErrorMessage="1" promptTitle="Include Bitcoin?" prompt="Only switches which number the headline shows. Comparison columns never collapse." sqref="B6" xr:uid="{00000000-0002-0000-0100-000001000000}">
      <formula1>"Yes,No"</formula1>
    </dataValidation>
    <dataValidation type="list" errorStyle="warning" allowBlank="1" showInputMessage="1" showErrorMessage="1" promptTitle="BTC stress path" prompt="What-if for the Bitcoin side only: Normal, frozen price, -80% shock, or no BTC at all." sqref="B7" xr:uid="{00000000-0002-0000-0100-000002000000}">
      <formula1>"Normal,Flat 0%,-80% shock,Zero BTC"</formula1>
    </dataValidation>
  </dataValidations>
  <pageMargins left="0.75" right="0.75" top="1" bottom="1" header="0.5" footer="0.5"/>
  <pageSetup fitToHeight="0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1F4E79"/>
    <pageSetUpPr fitToPage="1"/>
  </sheetPr>
  <dimension ref="A1:F23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30" customWidth="1"/>
    <col min="2" max="2" width="14" customWidth="1"/>
    <col min="3" max="3" width="12" customWidth="1"/>
    <col min="4" max="4" width="52" customWidth="1"/>
    <col min="5" max="5" width="15" customWidth="1"/>
  </cols>
  <sheetData>
    <row r="1" spans="1:6" ht="24" customHeight="1" x14ac:dyDescent="0.25">
      <c r="A1" s="59" t="s">
        <v>558</v>
      </c>
      <c r="B1" s="60"/>
      <c r="C1" s="60"/>
      <c r="D1" s="60"/>
      <c r="E1" s="60"/>
      <c r="F1" s="60"/>
    </row>
    <row r="2" spans="1:6" x14ac:dyDescent="0.25">
      <c r="A2" s="10" t="s">
        <v>559</v>
      </c>
      <c r="F2" s="9" t="str">
        <f>HYPERLINK("#Dashboard!A1","&lt; Dashboard")</f>
        <v>&lt; Dashboard</v>
      </c>
    </row>
    <row r="4" spans="1:6" x14ac:dyDescent="0.25">
      <c r="A4" s="2" t="s">
        <v>560</v>
      </c>
      <c r="B4" s="2" t="s">
        <v>561</v>
      </c>
      <c r="C4" s="2" t="s">
        <v>562</v>
      </c>
      <c r="D4" s="2" t="s">
        <v>563</v>
      </c>
      <c r="E4" s="2" t="s">
        <v>564</v>
      </c>
    </row>
    <row r="5" spans="1:6" x14ac:dyDescent="0.25">
      <c r="A5" s="5" t="s">
        <v>565</v>
      </c>
      <c r="B5" s="55">
        <v>60065.599999999999</v>
      </c>
      <c r="C5" s="56">
        <v>46204</v>
      </c>
      <c r="D5" s="5" t="s">
        <v>566</v>
      </c>
      <c r="E5" s="5" t="s">
        <v>567</v>
      </c>
    </row>
    <row r="6" spans="1:6" x14ac:dyDescent="0.25">
      <c r="A6" s="5" t="s">
        <v>568</v>
      </c>
      <c r="B6" s="31">
        <v>6.4299999999999996E-2</v>
      </c>
      <c r="C6" s="56">
        <v>46205</v>
      </c>
      <c r="D6" s="5" t="s">
        <v>569</v>
      </c>
      <c r="E6" s="5" t="s">
        <v>567</v>
      </c>
    </row>
    <row r="7" spans="1:6" x14ac:dyDescent="0.25">
      <c r="A7" s="5" t="s">
        <v>570</v>
      </c>
      <c r="B7" s="31">
        <v>4.4400000000000002E-2</v>
      </c>
      <c r="C7" s="56">
        <v>46203</v>
      </c>
      <c r="D7" s="5" t="s">
        <v>571</v>
      </c>
      <c r="E7" s="5" t="s">
        <v>567</v>
      </c>
    </row>
    <row r="8" spans="1:6" x14ac:dyDescent="0.25">
      <c r="A8" s="5" t="s">
        <v>572</v>
      </c>
      <c r="B8" s="31">
        <v>4.1700000000000001E-2</v>
      </c>
      <c r="C8" s="56">
        <v>46143</v>
      </c>
      <c r="D8" s="5" t="s">
        <v>573</v>
      </c>
      <c r="E8" s="5" t="s">
        <v>567</v>
      </c>
    </row>
    <row r="9" spans="1:6" x14ac:dyDescent="0.25">
      <c r="A9" s="5" t="s">
        <v>574</v>
      </c>
      <c r="B9" s="31">
        <v>5.5800000000000002E-2</v>
      </c>
      <c r="C9" s="56">
        <v>46143</v>
      </c>
      <c r="D9" s="5" t="s">
        <v>575</v>
      </c>
      <c r="E9" s="5" t="s">
        <v>567</v>
      </c>
    </row>
    <row r="10" spans="1:6" x14ac:dyDescent="0.25">
      <c r="A10" s="5" t="s">
        <v>576</v>
      </c>
      <c r="B10" s="52">
        <v>23052.3</v>
      </c>
      <c r="C10" s="56">
        <v>46143</v>
      </c>
      <c r="D10" s="5" t="s">
        <v>577</v>
      </c>
      <c r="E10" s="5" t="s">
        <v>567</v>
      </c>
    </row>
    <row r="12" spans="1:6" x14ac:dyDescent="0.25">
      <c r="A12" s="12" t="s">
        <v>578</v>
      </c>
      <c r="B12" s="38">
        <v>46205</v>
      </c>
    </row>
    <row r="14" spans="1:6" x14ac:dyDescent="0.25">
      <c r="A14" s="10" t="s">
        <v>579</v>
      </c>
    </row>
    <row r="16" spans="1:6" x14ac:dyDescent="0.25">
      <c r="A16" s="12" t="s">
        <v>580</v>
      </c>
      <c r="B16" s="5" t="s">
        <v>581</v>
      </c>
    </row>
    <row r="18" spans="1:6" x14ac:dyDescent="0.25">
      <c r="A18" s="57" t="s">
        <v>582</v>
      </c>
      <c r="B18" s="58"/>
      <c r="C18" s="58"/>
      <c r="D18" s="58"/>
      <c r="E18" s="58"/>
      <c r="F18" s="58"/>
    </row>
    <row r="19" spans="1:6" x14ac:dyDescent="0.25">
      <c r="A19" s="10" t="s">
        <v>583</v>
      </c>
    </row>
    <row r="20" spans="1:6" x14ac:dyDescent="0.25">
      <c r="A20" s="10" t="s">
        <v>584</v>
      </c>
    </row>
    <row r="21" spans="1:6" x14ac:dyDescent="0.25">
      <c r="A21" s="10" t="s">
        <v>585</v>
      </c>
    </row>
    <row r="23" spans="1:6" x14ac:dyDescent="0.25">
      <c r="A23" s="10" t="s">
        <v>37</v>
      </c>
    </row>
  </sheetData>
  <sheetProtection sheet="1"/>
  <mergeCells count="2">
    <mergeCell ref="A1:F1"/>
    <mergeCell ref="A18:F18"/>
  </mergeCells>
  <dataValidations count="2">
    <dataValidation type="decimal" errorStyle="warning" operator="greaterThanOrEqual" allowBlank="1" showInputMessage="1" showErrorMessage="1" promptTitle="Amount" prompt="Enter a dollar (or unit) amount, 0 or more." sqref="B5 B10" xr:uid="{00000000-0002-0000-1300-000000000000}">
      <formula1>0</formula1>
    </dataValidation>
    <dataValidation type="decimal" errorStyle="warning" allowBlank="1" showInputMessage="1" showErrorMessage="1" promptTitle="Rate" prompt="Enter as a decimal: 0.05 = 5%." sqref="B6 B7 B8 B9" xr:uid="{00000000-0002-0000-1300-000001000000}">
      <formula1>-1</formula1>
      <formula2>1</formula2>
    </dataValidation>
  </dataValidations>
  <pageMargins left="0.75" right="0.75" top="1" bottom="1" header="0.5" footer="0.5"/>
  <pageSetup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8080"/>
    <pageSetUpPr fitToPage="1"/>
  </sheetPr>
  <dimension ref="A1:I34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4" customWidth="1"/>
    <col min="2" max="2" width="36" customWidth="1"/>
    <col min="3" max="3" width="12" customWidth="1"/>
    <col min="4" max="5" width="34" customWidth="1"/>
    <col min="6" max="6" width="9" customWidth="1"/>
    <col min="7" max="7" width="46" customWidth="1"/>
    <col min="8" max="8" width="13" hidden="1" customWidth="1"/>
  </cols>
  <sheetData>
    <row r="1" spans="1:9" ht="24" customHeight="1" x14ac:dyDescent="0.25">
      <c r="A1" s="59" t="s">
        <v>586</v>
      </c>
      <c r="B1" s="60"/>
      <c r="C1" s="60"/>
      <c r="D1" s="60"/>
      <c r="E1" s="60"/>
      <c r="F1" s="60"/>
      <c r="G1" s="60"/>
    </row>
    <row r="2" spans="1:9" x14ac:dyDescent="0.25">
      <c r="A2" s="10" t="s">
        <v>587</v>
      </c>
      <c r="H2" s="7" t="b">
        <f>COUNTIF($F$5:$F$27,"FAIL")=0</f>
        <v>1</v>
      </c>
      <c r="I2" s="9" t="str">
        <f>HYPERLINK("#Dashboard!A1","&lt; Dashboard")</f>
        <v>&lt; Dashboard</v>
      </c>
    </row>
    <row r="4" spans="1:9" x14ac:dyDescent="0.25">
      <c r="A4" s="2" t="s">
        <v>588</v>
      </c>
      <c r="B4" s="2" t="s">
        <v>589</v>
      </c>
      <c r="C4" s="2" t="s">
        <v>564</v>
      </c>
      <c r="D4" s="2" t="s">
        <v>590</v>
      </c>
      <c r="E4" s="2" t="s">
        <v>591</v>
      </c>
      <c r="F4" s="2" t="s">
        <v>592</v>
      </c>
      <c r="G4" s="2" t="s">
        <v>593</v>
      </c>
    </row>
    <row r="5" spans="1:9" x14ac:dyDescent="0.25">
      <c r="A5" s="39">
        <v>1</v>
      </c>
      <c r="B5" s="5" t="s">
        <v>594</v>
      </c>
      <c r="C5" s="5" t="s">
        <v>595</v>
      </c>
      <c r="D5" s="7">
        <v>3</v>
      </c>
      <c r="E5" s="7">
        <f>12000/4000</f>
        <v>3</v>
      </c>
      <c r="F5" s="7" t="str">
        <f>IF(ABS(E5-D5)&lt;0.000001,"PASS","FAIL")</f>
        <v>PASS</v>
      </c>
      <c r="G5" s="10" t="s">
        <v>596</v>
      </c>
    </row>
    <row r="6" spans="1:9" x14ac:dyDescent="0.25">
      <c r="A6" s="39">
        <v>2</v>
      </c>
      <c r="B6" s="5" t="s">
        <v>597</v>
      </c>
      <c r="C6" s="5" t="s">
        <v>595</v>
      </c>
      <c r="D6" s="7">
        <f>-(LN(1-0.02*10000/500))/LN(1.02)</f>
        <v>25.79585103157185</v>
      </c>
      <c r="E6" s="7">
        <f>NPER(0.02,-500,10000)</f>
        <v>25.79585103157185</v>
      </c>
      <c r="F6" s="7" t="str">
        <f>IF(ABS(E6-D6)&lt;0.01,"PASS","FAIL")</f>
        <v>PASS</v>
      </c>
      <c r="G6" s="10" t="s">
        <v>598</v>
      </c>
    </row>
    <row r="7" spans="1:9" x14ac:dyDescent="0.25">
      <c r="A7" s="39">
        <v>3</v>
      </c>
      <c r="B7" s="5" t="s">
        <v>599</v>
      </c>
      <c r="C7" s="5" t="s">
        <v>595</v>
      </c>
      <c r="D7" s="7">
        <f>1000*1.07^10</f>
        <v>1967.1513572895656</v>
      </c>
      <c r="E7" s="7">
        <f>FV(0.07,10,0,-1000)</f>
        <v>1967.1513572895656</v>
      </c>
      <c r="F7" s="7" t="str">
        <f>IF(ABS(E7-D7)&lt;0.01,"PASS","FAIL")</f>
        <v>PASS</v>
      </c>
      <c r="G7" s="10"/>
    </row>
    <row r="8" spans="1:9" x14ac:dyDescent="0.25">
      <c r="A8" s="39">
        <v>4</v>
      </c>
      <c r="B8" s="5" t="s">
        <v>600</v>
      </c>
      <c r="C8" s="5" t="s">
        <v>595</v>
      </c>
      <c r="D8" s="7">
        <f>100/1.03^10</f>
        <v>74.409391489672515</v>
      </c>
      <c r="E8" s="7">
        <f>100*1.03^-10</f>
        <v>74.409391489672515</v>
      </c>
      <c r="F8" s="7" t="str">
        <f>IF(ABS(E8-D8)&lt;0.000001,"PASS","FAIL")</f>
        <v>PASS</v>
      </c>
      <c r="G8" s="10"/>
    </row>
    <row r="9" spans="1:9" x14ac:dyDescent="0.25">
      <c r="A9" s="39">
        <v>5</v>
      </c>
      <c r="B9" s="5" t="s">
        <v>601</v>
      </c>
      <c r="C9" s="5" t="s">
        <v>595</v>
      </c>
      <c r="D9" s="7">
        <v>50000000</v>
      </c>
      <c r="E9" s="7">
        <f>0.5*100000000</f>
        <v>50000000</v>
      </c>
      <c r="F9" s="7" t="str">
        <f>IF(E9=D9,"PASS","FAIL")</f>
        <v>PASS</v>
      </c>
      <c r="G9" s="10" t="s">
        <v>602</v>
      </c>
    </row>
    <row r="10" spans="1:9" x14ac:dyDescent="0.25">
      <c r="A10" s="39">
        <v>6</v>
      </c>
      <c r="B10" s="5" t="s">
        <v>603</v>
      </c>
      <c r="C10" s="5" t="s">
        <v>604</v>
      </c>
      <c r="D10" s="7">
        <f>BTCStack*100000000</f>
        <v>25000000</v>
      </c>
      <c r="E10" s="7">
        <f>DashSats</f>
        <v>25000000</v>
      </c>
      <c r="F10" s="7" t="str">
        <f>IF(ABS(E10-D10)&lt;0.000001,"PASS","FAIL")</f>
        <v>PASS</v>
      </c>
      <c r="G10" s="10"/>
    </row>
    <row r="11" spans="1:9" x14ac:dyDescent="0.25">
      <c r="A11" s="39">
        <v>7</v>
      </c>
      <c r="B11" s="5" t="s">
        <v>605</v>
      </c>
      <c r="C11" s="5" t="s">
        <v>595</v>
      </c>
      <c r="D11" s="7">
        <v>0</v>
      </c>
      <c r="E11" s="7">
        <f>LTCGRate15*MAX(0,MIN(30000,LTCG15TopSingle)-MAX(20000,LTCG0TopSingle))+LTCGRate20*MAX(0,30000-MAX(20000,LTCG15TopSingle))</f>
        <v>0</v>
      </c>
      <c r="F11" s="7" t="str">
        <f>IF(ABS(E11-D11)&lt;0.01,"PASS","FAIL")</f>
        <v>PASS</v>
      </c>
      <c r="G11" s="10" t="s">
        <v>606</v>
      </c>
    </row>
    <row r="12" spans="1:9" x14ac:dyDescent="0.25">
      <c r="A12" s="39">
        <v>8</v>
      </c>
      <c r="B12" s="5" t="s">
        <v>607</v>
      </c>
      <c r="C12" s="5" t="s">
        <v>595</v>
      </c>
      <c r="D12" s="7">
        <v>1582.5</v>
      </c>
      <c r="E12" s="7">
        <f>LTCGRate15*MAX(0,MIN(60000,LTCG15TopSingle)-MAX(40000,LTCG0TopSingle))+LTCGRate20*MAX(0,60000-MAX(40000,LTCG15TopSingle))</f>
        <v>1582.5</v>
      </c>
      <c r="F12" s="7" t="str">
        <f>IF(ABS(E12-D12)&lt;0.01,"PASS","FAIL")</f>
        <v>PASS</v>
      </c>
      <c r="G12" s="10" t="s">
        <v>608</v>
      </c>
    </row>
    <row r="13" spans="1:9" x14ac:dyDescent="0.25">
      <c r="A13" s="39">
        <v>9</v>
      </c>
      <c r="B13" s="5" t="s">
        <v>609</v>
      </c>
      <c r="C13" s="5" t="s">
        <v>604</v>
      </c>
      <c r="D13" s="7">
        <f>SavingsRate</f>
        <v>0.36666666666666664</v>
      </c>
      <c r="E13" s="7">
        <f>DashSavingsRate</f>
        <v>0.36666666666666664</v>
      </c>
      <c r="F13" s="7" t="str">
        <f>IF(ABS(E13-D13)&lt;0.000000001,"PASS","FAIL")</f>
        <v>PASS</v>
      </c>
      <c r="G13" s="10" t="s">
        <v>610</v>
      </c>
    </row>
    <row r="14" spans="1:9" x14ac:dyDescent="0.25">
      <c r="A14" s="39">
        <v>10</v>
      </c>
      <c r="B14" s="5" t="s">
        <v>611</v>
      </c>
      <c r="C14" s="5" t="s">
        <v>604</v>
      </c>
      <c r="D14" s="7" t="s">
        <v>612</v>
      </c>
      <c r="E14" s="7">
        <f>AnnualSurplus</f>
        <v>4800</v>
      </c>
      <c r="F14" s="7" t="str">
        <f>IF(E14&gt;0,"PASS","FAIL")</f>
        <v>PASS</v>
      </c>
      <c r="G14" s="10"/>
    </row>
    <row r="15" spans="1:9" x14ac:dyDescent="0.25">
      <c r="A15" s="39">
        <v>11</v>
      </c>
      <c r="B15" s="5" t="s">
        <v>613</v>
      </c>
      <c r="C15" s="5" t="s">
        <v>604</v>
      </c>
      <c r="D15" s="7">
        <f>NetWorthLatest</f>
        <v>76516</v>
      </c>
      <c r="E15" s="7">
        <f>DashNetWorth</f>
        <v>76516</v>
      </c>
      <c r="F15" s="7" t="str">
        <f>IF(AND(ABS(E15-D15)&lt;0.005,ABS(AssumpNetWorth-D15)&lt;0.005),"PASS","FAIL")</f>
        <v>PASS</v>
      </c>
      <c r="G15" s="10" t="s">
        <v>614</v>
      </c>
    </row>
    <row r="16" spans="1:9" x14ac:dyDescent="0.25">
      <c r="A16" s="39">
        <v>12</v>
      </c>
      <c r="B16" s="5" t="s">
        <v>615</v>
      </c>
      <c r="C16" s="5" t="s">
        <v>604</v>
      </c>
      <c r="D16" s="7" t="s">
        <v>616</v>
      </c>
      <c r="E16" s="7" t="str">
        <f>TEXT(BTCTermC,"$#,##0")&amp;" / "&amp;TEXT(BTCTermB,"$#,##0")&amp;" / "&amp;TEXT(BTCTermA,"$#,##0")</f>
        <v>$407,644 / $6,183,977 / $80,040,785</v>
      </c>
      <c r="F16" s="7" t="str">
        <f>IF(AND(BTCTermC&lt;&gt;BTCTermB,BTCTermB&lt;&gt;BTCTermA,BTCTermC&lt;&gt;BTCTermA),"PASS","FAIL")</f>
        <v>PASS</v>
      </c>
      <c r="G16" s="10" t="s">
        <v>617</v>
      </c>
    </row>
    <row r="17" spans="1:7" x14ac:dyDescent="0.25">
      <c r="A17" s="39">
        <v>13</v>
      </c>
      <c r="B17" s="5" t="s">
        <v>618</v>
      </c>
      <c r="C17" s="5" t="s">
        <v>604</v>
      </c>
      <c r="D17" s="7">
        <f>NoBTCSelTarget</f>
        <v>1079816.1057237864</v>
      </c>
      <c r="E17" s="7">
        <f>WithBTCSelTarget</f>
        <v>1433925.1495890557</v>
      </c>
      <c r="F17" s="7" t="str">
        <f>IF(OR(StressIndex&lt;&gt;1,E17&gt;D17,AND(BTCStack=0,AllocBTC=0,ABS(E17-D17)&lt;0.01)),"PASS","FAIL")</f>
        <v>PASS</v>
      </c>
      <c r="G17" s="10" t="s">
        <v>619</v>
      </c>
    </row>
    <row r="18" spans="1:7" x14ac:dyDescent="0.25">
      <c r="A18" s="39">
        <v>14</v>
      </c>
      <c r="B18" s="5" t="s">
        <v>620</v>
      </c>
      <c r="C18" s="5" t="s">
        <v>595</v>
      </c>
      <c r="D18" s="7" t="s">
        <v>621</v>
      </c>
      <c r="E18" s="7">
        <f>FV(BlendB,MAX(1,TargetAge-CurrentAge),-AnnualContrib,-StartPortfolio)</f>
        <v>1028535.3525615929</v>
      </c>
      <c r="F18" s="7" t="str">
        <f>IF(AND(ISNUMBER(E18),E18&gt;0),"PASS","FAIL")</f>
        <v>PASS</v>
      </c>
      <c r="G18" s="10" t="s">
        <v>622</v>
      </c>
    </row>
    <row r="19" spans="1:7" x14ac:dyDescent="0.25">
      <c r="A19" s="39">
        <v>15</v>
      </c>
      <c r="B19" s="5" t="s">
        <v>623</v>
      </c>
      <c r="C19" s="5" t="s">
        <v>604</v>
      </c>
      <c r="D19" s="7">
        <v>0</v>
      </c>
      <c r="E19" s="7">
        <f>SUMPRODUCT(--ISERROR(Projections!$G$4:$AK$64))</f>
        <v>0</v>
      </c>
      <c r="F19" s="7" t="str">
        <f>IF(E19=0,"PASS","FAIL")</f>
        <v>PASS</v>
      </c>
      <c r="G19" s="10" t="s">
        <v>624</v>
      </c>
    </row>
    <row r="20" spans="1:7" x14ac:dyDescent="0.25">
      <c r="A20" s="39">
        <v>16</v>
      </c>
      <c r="B20" s="5" t="s">
        <v>625</v>
      </c>
      <c r="C20" s="5" t="s">
        <v>604</v>
      </c>
      <c r="D20" s="7">
        <f>FINumber</f>
        <v>912000</v>
      </c>
      <c r="E20" s="7">
        <f>RetPortfolioNeed</f>
        <v>312000</v>
      </c>
      <c r="F20" s="7" t="str">
        <f>IF(ABS(E20-D20)&gt;1,"PASS","FAIL")</f>
        <v>PASS</v>
      </c>
      <c r="G20" s="10" t="s">
        <v>626</v>
      </c>
    </row>
    <row r="21" spans="1:7" x14ac:dyDescent="0.25">
      <c r="A21" s="39">
        <v>17</v>
      </c>
      <c r="B21" s="5" t="s">
        <v>627</v>
      </c>
      <c r="C21" s="5" t="s">
        <v>595</v>
      </c>
      <c r="D21" s="7" t="s">
        <v>628</v>
      </c>
      <c r="E21" s="7" t="str">
        <f>HousingTestBE</f>
        <v>Favors renting / no simple break-even</v>
      </c>
      <c r="F21" s="7" t="str">
        <f>IF(E21=D21,"PASS","FAIL")</f>
        <v>PASS</v>
      </c>
      <c r="G21" s="10" t="s">
        <v>629</v>
      </c>
    </row>
    <row r="22" spans="1:7" x14ac:dyDescent="0.25">
      <c r="A22" s="39">
        <v>18</v>
      </c>
      <c r="B22" s="5" t="s">
        <v>630</v>
      </c>
      <c r="C22" s="5" t="s">
        <v>604</v>
      </c>
      <c r="D22" s="7" t="s">
        <v>631</v>
      </c>
      <c r="E22" s="7" t="str">
        <f>IF(ISNUMBER(HousingBreakEven),TEXT(HousingBreakEven,"0"),HousingBreakEven)</f>
        <v>7</v>
      </c>
      <c r="F22" s="7" t="str">
        <f>IF(OR(AND(ISNUMBER(HousingBreakEven),HousingBreakEven&gt;=1,HousingBreakEven&lt;=30),HousingBreakEven="Favors renting / no simple break-even"),"PASS","FAIL")</f>
        <v>PASS</v>
      </c>
      <c r="G22" s="10"/>
    </row>
    <row r="23" spans="1:7" x14ac:dyDescent="0.25">
      <c r="A23" s="39">
        <v>19</v>
      </c>
      <c r="B23" s="5" t="s">
        <v>632</v>
      </c>
      <c r="C23" s="5" t="s">
        <v>604</v>
      </c>
      <c r="D23" s="7">
        <f>TaxTest100k</f>
        <v>16712</v>
      </c>
      <c r="E23" s="7">
        <f>DDTest100k</f>
        <v>16712</v>
      </c>
      <c r="F23" s="7" t="str">
        <f>IF(ABS(E23-D23)&lt;0.005,"PASS","FAIL")</f>
        <v>PASS</v>
      </c>
      <c r="G23" s="10" t="s">
        <v>633</v>
      </c>
    </row>
    <row r="24" spans="1:7" x14ac:dyDescent="0.25">
      <c r="A24" s="39">
        <v>20</v>
      </c>
      <c r="B24" s="5" t="s">
        <v>634</v>
      </c>
      <c r="C24" s="5" t="s">
        <v>604</v>
      </c>
      <c r="D24" s="7">
        <v>1</v>
      </c>
      <c r="E24" s="7">
        <f>AllocTotal</f>
        <v>1</v>
      </c>
      <c r="F24" s="7" t="str">
        <f>IF(ABS(E24-D24)&lt;0.0001,"PASS","FAIL")</f>
        <v>PASS</v>
      </c>
      <c r="G24" s="10"/>
    </row>
    <row r="25" spans="1:7" x14ac:dyDescent="0.25">
      <c r="A25" s="39">
        <v>21</v>
      </c>
      <c r="B25" s="5" t="s">
        <v>635</v>
      </c>
      <c r="C25" s="5" t="s">
        <v>604</v>
      </c>
      <c r="D25" s="7">
        <v>0</v>
      </c>
      <c r="E25" s="7">
        <f>SUMPRODUCT(--ISNUMBER(SEARCH("{{",'Site Tool Library'!$A$5:$C$30)))+SUMPRODUCT(--ISNUMBER(SEARCH("${",'Site Tool Library'!$A$5:$C$30)))+SUMPRODUCT(--ISNUMBER(SEARCH("RUNG",'Site Tool Library'!$A$5:$C$30)))</f>
        <v>0</v>
      </c>
      <c r="F25" s="7" t="str">
        <f>IF(E25=0,"PASS","FAIL")</f>
        <v>PASS</v>
      </c>
      <c r="G25" s="10" t="s">
        <v>636</v>
      </c>
    </row>
    <row r="26" spans="1:7" x14ac:dyDescent="0.25">
      <c r="A26" s="39">
        <v>22</v>
      </c>
      <c r="B26" s="5" t="s">
        <v>637</v>
      </c>
      <c r="C26" s="5" t="s">
        <v>604</v>
      </c>
      <c r="D26" s="7">
        <v>0</v>
      </c>
      <c r="E26" s="7">
        <f>SUMPRODUCT(--ISERROR(Dashboard!$B$10:$B$22))+SUMPRODUCT(--ISERROR('FIRE &amp; Retirement'!$B$4:$B$18))+SUMPRODUCT(--ISERROR('Tax Center'!$B$42:$B$54))+SUMPRODUCT(--ISERROR('Retirement Drawdown'!$B$11:$B$31))</f>
        <v>0</v>
      </c>
      <c r="F26" s="7" t="str">
        <f>IF(E26=0,"PASS","FAIL")</f>
        <v>PASS</v>
      </c>
      <c r="G26" s="10" t="s">
        <v>638</v>
      </c>
    </row>
    <row r="27" spans="1:7" x14ac:dyDescent="0.25">
      <c r="A27" s="39">
        <v>23</v>
      </c>
      <c r="B27" s="5" t="s">
        <v>639</v>
      </c>
      <c r="C27" s="5" t="s">
        <v>595</v>
      </c>
      <c r="D27" s="7">
        <v>667.5</v>
      </c>
      <c r="E27" s="7">
        <f>LTCGRate15*MAX(0,MIN(MAX(0,70000-StdDedSingle),LTCG15TopSingle)-MAX(MAX(0,10000-StdDedSingle),LTCG0TopSingle))+LTCGRate20*MAX(0,MAX(0,70000-StdDedSingle)-MAX(MAX(0,10000-StdDedSingle),LTCG15TopSingle))</f>
        <v>667.5</v>
      </c>
      <c r="F27" s="7" t="str">
        <f>IF(ABS(E27-D27)&lt;0.01,"PASS","FAIL")</f>
        <v>PASS</v>
      </c>
      <c r="G27" s="10" t="s">
        <v>640</v>
      </c>
    </row>
    <row r="29" spans="1:7" x14ac:dyDescent="0.25">
      <c r="B29" s="12" t="s">
        <v>641</v>
      </c>
      <c r="E29" s="39">
        <f>COUNTA($B$5:$B$27)</f>
        <v>23</v>
      </c>
    </row>
    <row r="30" spans="1:7" x14ac:dyDescent="0.25">
      <c r="B30" s="12" t="s">
        <v>642</v>
      </c>
      <c r="E30" s="39">
        <f>COUNTIF($F$5:$F$27,"PASS")</f>
        <v>23</v>
      </c>
    </row>
    <row r="31" spans="1:7" x14ac:dyDescent="0.25">
      <c r="B31" s="12" t="s">
        <v>643</v>
      </c>
      <c r="E31" s="7" t="str">
        <f>COUNTIF($F$5:$F$27,"PASS")&amp;" / "&amp;COUNTA($B$5:$B$27)&amp;" ("&amp;TEXT(COUNTIF($F$5:$F$27,"PASS")/COUNTA($B$5:$B$27),"0%")&amp;")"</f>
        <v>23 / 23 (100%)</v>
      </c>
    </row>
    <row r="32" spans="1:7" x14ac:dyDescent="0.25">
      <c r="B32" s="12" t="s">
        <v>644</v>
      </c>
      <c r="F32" s="12" t="str">
        <f>IF(COUNTIF($F$5:$F$27,"FAIL")=0,"PASS","FAIL")</f>
        <v>PASS</v>
      </c>
    </row>
    <row r="34" spans="1:1" x14ac:dyDescent="0.25">
      <c r="A34" s="10" t="s">
        <v>37</v>
      </c>
    </row>
  </sheetData>
  <sheetProtection sheet="1"/>
  <mergeCells count="1">
    <mergeCell ref="A1:G1"/>
  </mergeCells>
  <conditionalFormatting sqref="F5:F32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5" right="0.75" top="1" bottom="1" header="0.5" footer="0.5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4E79"/>
    <pageSetUpPr fitToPage="1"/>
  </sheetPr>
  <dimension ref="A1:F34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40" customWidth="1"/>
    <col min="2" max="2" width="14" customWidth="1"/>
    <col min="3" max="3" width="52" customWidth="1"/>
  </cols>
  <sheetData>
    <row r="1" spans="1:6" ht="24" customHeight="1" x14ac:dyDescent="0.25">
      <c r="A1" s="59" t="s">
        <v>75</v>
      </c>
      <c r="B1" s="60"/>
      <c r="C1" s="60"/>
      <c r="D1" s="60"/>
      <c r="E1" s="60"/>
      <c r="F1" s="60"/>
    </row>
    <row r="2" spans="1:6" x14ac:dyDescent="0.25">
      <c r="A2" s="10" t="s">
        <v>76</v>
      </c>
      <c r="F2" s="9" t="str">
        <f>HYPERLINK("#Dashboard!A1","&lt; Dashboard")</f>
        <v>&lt; Dashboard</v>
      </c>
    </row>
    <row r="4" spans="1:6" x14ac:dyDescent="0.25">
      <c r="A4" s="57" t="s">
        <v>77</v>
      </c>
      <c r="B4" s="58"/>
      <c r="C4" s="58"/>
      <c r="D4" s="58"/>
      <c r="E4" s="58"/>
      <c r="F4" s="58"/>
    </row>
    <row r="5" spans="1:6" x14ac:dyDescent="0.25">
      <c r="A5" s="5" t="s">
        <v>78</v>
      </c>
      <c r="B5" s="25">
        <v>5200</v>
      </c>
    </row>
    <row r="6" spans="1:6" x14ac:dyDescent="0.25">
      <c r="A6" s="5" t="s">
        <v>79</v>
      </c>
      <c r="B6" s="25">
        <v>600</v>
      </c>
    </row>
    <row r="7" spans="1:6" x14ac:dyDescent="0.25">
      <c r="A7" s="5" t="s">
        <v>80</v>
      </c>
      <c r="B7" s="25">
        <v>200</v>
      </c>
    </row>
    <row r="8" spans="1:6" x14ac:dyDescent="0.25">
      <c r="A8" s="12" t="s">
        <v>81</v>
      </c>
      <c r="B8" s="26">
        <f>SUM(B5:B7)</f>
        <v>6000</v>
      </c>
    </row>
    <row r="10" spans="1:6" x14ac:dyDescent="0.25">
      <c r="A10" s="57" t="s">
        <v>82</v>
      </c>
      <c r="B10" s="58"/>
      <c r="C10" s="58"/>
      <c r="D10" s="58"/>
      <c r="E10" s="58"/>
      <c r="F10" s="58"/>
    </row>
    <row r="11" spans="1:6" x14ac:dyDescent="0.25">
      <c r="A11" s="5" t="s">
        <v>83</v>
      </c>
      <c r="B11" s="25">
        <v>1400</v>
      </c>
    </row>
    <row r="12" spans="1:6" x14ac:dyDescent="0.25">
      <c r="A12" s="5" t="s">
        <v>84</v>
      </c>
      <c r="B12" s="25">
        <v>180</v>
      </c>
    </row>
    <row r="13" spans="1:6" x14ac:dyDescent="0.25">
      <c r="A13" s="5" t="s">
        <v>85</v>
      </c>
      <c r="B13" s="25">
        <v>450</v>
      </c>
    </row>
    <row r="14" spans="1:6" x14ac:dyDescent="0.25">
      <c r="A14" s="5" t="s">
        <v>86</v>
      </c>
      <c r="B14" s="25">
        <v>350</v>
      </c>
    </row>
    <row r="15" spans="1:6" x14ac:dyDescent="0.25">
      <c r="A15" s="5" t="s">
        <v>87</v>
      </c>
      <c r="B15" s="25">
        <v>200</v>
      </c>
    </row>
    <row r="16" spans="1:6" x14ac:dyDescent="0.25">
      <c r="A16" s="5" t="s">
        <v>88</v>
      </c>
      <c r="B16" s="25">
        <v>120</v>
      </c>
    </row>
    <row r="17" spans="1:6" x14ac:dyDescent="0.25">
      <c r="A17" s="5" t="s">
        <v>89</v>
      </c>
      <c r="B17" s="25">
        <v>60</v>
      </c>
    </row>
    <row r="18" spans="1:6" x14ac:dyDescent="0.25">
      <c r="A18" s="5" t="s">
        <v>90</v>
      </c>
      <c r="B18" s="25">
        <v>250</v>
      </c>
    </row>
    <row r="19" spans="1:6" x14ac:dyDescent="0.25">
      <c r="A19" s="5" t="s">
        <v>91</v>
      </c>
      <c r="B19" s="25">
        <v>150</v>
      </c>
    </row>
    <row r="20" spans="1:6" x14ac:dyDescent="0.25">
      <c r="A20" s="5" t="s">
        <v>92</v>
      </c>
      <c r="B20" s="25">
        <v>190</v>
      </c>
    </row>
    <row r="21" spans="1:6" x14ac:dyDescent="0.25">
      <c r="A21" s="5" t="s">
        <v>93</v>
      </c>
      <c r="B21" s="25">
        <v>100</v>
      </c>
    </row>
    <row r="22" spans="1:6" x14ac:dyDescent="0.25">
      <c r="A22" s="5" t="s">
        <v>94</v>
      </c>
      <c r="B22" s="27">
        <f>DebtMinPayments</f>
        <v>350</v>
      </c>
    </row>
    <row r="23" spans="1:6" x14ac:dyDescent="0.25">
      <c r="A23" s="12" t="s">
        <v>95</v>
      </c>
      <c r="B23" s="26">
        <f>SUM(B11:B22)</f>
        <v>3800</v>
      </c>
      <c r="C23" s="10" t="s">
        <v>96</v>
      </c>
    </row>
    <row r="25" spans="1:6" x14ac:dyDescent="0.25">
      <c r="A25" s="57" t="s">
        <v>97</v>
      </c>
      <c r="B25" s="58"/>
      <c r="C25" s="58"/>
      <c r="D25" s="58"/>
      <c r="E25" s="58"/>
      <c r="F25" s="58"/>
    </row>
    <row r="26" spans="1:6" x14ac:dyDescent="0.25">
      <c r="A26" s="5" t="s">
        <v>98</v>
      </c>
      <c r="B26" s="25">
        <v>1800</v>
      </c>
      <c r="C26" s="10" t="s">
        <v>99</v>
      </c>
    </row>
    <row r="27" spans="1:6" x14ac:dyDescent="0.25">
      <c r="A27" s="5" t="s">
        <v>100</v>
      </c>
      <c r="B27" s="28">
        <f>MonthlyIncome-MonthlyExpenses-MonthlyContrib</f>
        <v>400</v>
      </c>
    </row>
    <row r="28" spans="1:6" x14ac:dyDescent="0.25">
      <c r="A28" s="12" t="s">
        <v>101</v>
      </c>
      <c r="B28" s="29">
        <f>IF(MonthlyIncome=0,0,(MonthlyIncome-MonthlyExpenses)/MonthlyIncome)</f>
        <v>0.36666666666666664</v>
      </c>
    </row>
    <row r="29" spans="1:6" x14ac:dyDescent="0.25">
      <c r="A29" s="5" t="s">
        <v>102</v>
      </c>
      <c r="B29" s="28">
        <f>MonthlySurplus*12</f>
        <v>4800</v>
      </c>
    </row>
    <row r="30" spans="1:6" x14ac:dyDescent="0.25">
      <c r="A30" s="5" t="s">
        <v>103</v>
      </c>
      <c r="B30" s="28">
        <f>MonthlyContrib*12</f>
        <v>21600</v>
      </c>
    </row>
    <row r="31" spans="1:6" x14ac:dyDescent="0.25">
      <c r="A31" s="5" t="s">
        <v>104</v>
      </c>
      <c r="B31" s="28">
        <f>AnnualContrib*(AllocStocks+AllocBonds+AllocCash)</f>
        <v>16200</v>
      </c>
    </row>
    <row r="32" spans="1:6" x14ac:dyDescent="0.25">
      <c r="A32" s="5" t="s">
        <v>105</v>
      </c>
      <c r="B32" s="28">
        <f>AnnualContrib*AllocBTC</f>
        <v>5400</v>
      </c>
    </row>
    <row r="34" spans="1:1" x14ac:dyDescent="0.25">
      <c r="A34" s="10" t="s">
        <v>37</v>
      </c>
    </row>
  </sheetData>
  <sheetProtection sheet="1"/>
  <mergeCells count="4">
    <mergeCell ref="A25:F25"/>
    <mergeCell ref="A1:F1"/>
    <mergeCell ref="A4:F4"/>
    <mergeCell ref="A10:F10"/>
  </mergeCells>
  <conditionalFormatting sqref="B23">
    <cfRule type="expression" dxfId="6" priority="1">
      <formula>$B$23&gt;0.9*$B$8</formula>
    </cfRule>
  </conditionalFormatting>
  <dataValidations count="1">
    <dataValidation type="decimal" errorStyle="warning" operator="greaterThanOrEqual" allowBlank="1" showInputMessage="1" showErrorMessage="1" promptTitle="Amount" prompt="Enter a dollar (or unit) amount, 0 or more." sqref="B5 B6 B7 B11 B12 B13 B14 B15 B16 B17 B18 B19 B20 B21 B26" xr:uid="{00000000-0002-0000-0200-000000000000}">
      <formula1>0</formula1>
    </dataValidation>
  </dataValidations>
  <pageMargins left="0.75" right="0.75" top="1" bottom="1" header="0.5" footer="0.5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4E79"/>
    <pageSetUpPr fitToPage="1"/>
  </sheetPr>
  <dimension ref="A1:H50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38" customWidth="1"/>
    <col min="2" max="2" width="14" customWidth="1"/>
    <col min="3" max="3" width="12" customWidth="1"/>
    <col min="4" max="5" width="10" customWidth="1"/>
    <col min="6" max="6" width="14" customWidth="1"/>
    <col min="7" max="7" width="16" customWidth="1"/>
    <col min="8" max="8" width="24" customWidth="1"/>
  </cols>
  <sheetData>
    <row r="1" spans="1:8" ht="24" customHeight="1" x14ac:dyDescent="0.25">
      <c r="A1" s="59" t="s">
        <v>106</v>
      </c>
      <c r="B1" s="60"/>
      <c r="C1" s="60"/>
      <c r="D1" s="60"/>
      <c r="E1" s="60"/>
      <c r="F1" s="60"/>
      <c r="G1" s="60"/>
      <c r="H1" s="60"/>
    </row>
    <row r="2" spans="1:8" x14ac:dyDescent="0.25">
      <c r="A2" s="10" t="s">
        <v>107</v>
      </c>
      <c r="H2" s="9" t="str">
        <f>HYPERLINK("#Dashboard!A1","&lt; Dashboard")</f>
        <v>&lt; Dashboard</v>
      </c>
    </row>
    <row r="3" spans="1:8" x14ac:dyDescent="0.25">
      <c r="A3" s="57" t="s">
        <v>108</v>
      </c>
      <c r="B3" s="58"/>
      <c r="C3" s="58"/>
      <c r="D3" s="58"/>
      <c r="E3" s="58"/>
      <c r="F3" s="58"/>
      <c r="G3" s="58"/>
      <c r="H3" s="58"/>
    </row>
    <row r="4" spans="1:8" x14ac:dyDescent="0.25">
      <c r="A4" s="5" t="s">
        <v>109</v>
      </c>
      <c r="B4" s="30">
        <v>30</v>
      </c>
    </row>
    <row r="5" spans="1:8" x14ac:dyDescent="0.25">
      <c r="A5" s="5" t="s">
        <v>110</v>
      </c>
      <c r="B5" s="30">
        <v>50</v>
      </c>
    </row>
    <row r="6" spans="1:8" x14ac:dyDescent="0.25">
      <c r="A6" s="5" t="s">
        <v>111</v>
      </c>
      <c r="B6" s="30">
        <v>67</v>
      </c>
    </row>
    <row r="7" spans="1:8" x14ac:dyDescent="0.25">
      <c r="A7" s="5" t="s">
        <v>112</v>
      </c>
      <c r="B7" s="25">
        <v>24000</v>
      </c>
      <c r="C7" s="10" t="s">
        <v>113</v>
      </c>
    </row>
    <row r="8" spans="1:8" x14ac:dyDescent="0.25">
      <c r="A8" s="5" t="s">
        <v>114</v>
      </c>
      <c r="B8" s="25">
        <v>0</v>
      </c>
    </row>
    <row r="9" spans="1:8" x14ac:dyDescent="0.25">
      <c r="A9" s="5" t="s">
        <v>115</v>
      </c>
      <c r="B9" s="4" t="s">
        <v>116</v>
      </c>
    </row>
    <row r="10" spans="1:8" x14ac:dyDescent="0.25">
      <c r="A10" s="5" t="s">
        <v>117</v>
      </c>
      <c r="B10" s="31">
        <v>0.05</v>
      </c>
      <c r="C10" s="10" t="s">
        <v>118</v>
      </c>
    </row>
    <row r="11" spans="1:8" x14ac:dyDescent="0.25">
      <c r="A11" s="5" t="s">
        <v>119</v>
      </c>
      <c r="B11" s="31">
        <v>0.04</v>
      </c>
    </row>
    <row r="12" spans="1:8" x14ac:dyDescent="0.25">
      <c r="A12" s="5" t="s">
        <v>120</v>
      </c>
      <c r="B12" s="32">
        <v>0.8</v>
      </c>
    </row>
    <row r="13" spans="1:8" x14ac:dyDescent="0.25">
      <c r="A13" s="5" t="s">
        <v>121</v>
      </c>
      <c r="B13" s="30">
        <v>2026</v>
      </c>
      <c r="C13" s="10" t="s">
        <v>122</v>
      </c>
    </row>
    <row r="14" spans="1:8" x14ac:dyDescent="0.25">
      <c r="A14" s="5" t="s">
        <v>123</v>
      </c>
      <c r="B14" s="25">
        <v>12000</v>
      </c>
    </row>
    <row r="15" spans="1:8" x14ac:dyDescent="0.25">
      <c r="A15" s="5" t="s">
        <v>124</v>
      </c>
      <c r="B15" s="25">
        <v>60000</v>
      </c>
      <c r="C15" s="10" t="s">
        <v>125</v>
      </c>
    </row>
    <row r="17" spans="1:8" x14ac:dyDescent="0.25">
      <c r="A17" s="57" t="s">
        <v>126</v>
      </c>
      <c r="B17" s="58"/>
      <c r="C17" s="58"/>
      <c r="D17" s="58"/>
      <c r="E17" s="58"/>
      <c r="F17" s="58"/>
      <c r="G17" s="58"/>
      <c r="H17" s="58"/>
    </row>
    <row r="18" spans="1:8" x14ac:dyDescent="0.25">
      <c r="A18" s="5" t="s">
        <v>127</v>
      </c>
      <c r="B18" s="32">
        <v>0.6</v>
      </c>
    </row>
    <row r="19" spans="1:8" x14ac:dyDescent="0.25">
      <c r="A19" s="5" t="s">
        <v>128</v>
      </c>
      <c r="B19" s="32">
        <v>0.1</v>
      </c>
    </row>
    <row r="20" spans="1:8" x14ac:dyDescent="0.25">
      <c r="A20" s="5" t="s">
        <v>129</v>
      </c>
      <c r="B20" s="32">
        <v>0.05</v>
      </c>
    </row>
    <row r="21" spans="1:8" x14ac:dyDescent="0.25">
      <c r="A21" s="5" t="s">
        <v>130</v>
      </c>
      <c r="B21" s="32">
        <v>0.25</v>
      </c>
    </row>
    <row r="22" spans="1:8" x14ac:dyDescent="0.25">
      <c r="A22" s="12" t="s">
        <v>131</v>
      </c>
      <c r="B22" s="29">
        <f>SUM(B18:B21)</f>
        <v>1</v>
      </c>
      <c r="C22" s="7" t="str">
        <f>IF(ABS(AllocTotal-1)&gt;0.001,"WARNING: allocations should sum to 100%","OK")</f>
        <v>OK</v>
      </c>
    </row>
    <row r="24" spans="1:8" x14ac:dyDescent="0.25">
      <c r="A24" s="57" t="s">
        <v>130</v>
      </c>
      <c r="B24" s="58"/>
      <c r="C24" s="58"/>
      <c r="D24" s="58"/>
      <c r="E24" s="58"/>
      <c r="F24" s="58"/>
      <c r="G24" s="58"/>
      <c r="H24" s="58"/>
    </row>
    <row r="25" spans="1:8" x14ac:dyDescent="0.25">
      <c r="A25" s="5" t="s">
        <v>132</v>
      </c>
      <c r="B25" s="33">
        <v>0.25</v>
      </c>
      <c r="C25" s="10" t="s">
        <v>133</v>
      </c>
    </row>
    <row r="26" spans="1:8" x14ac:dyDescent="0.25">
      <c r="A26" s="5" t="s">
        <v>134</v>
      </c>
      <c r="B26" s="30">
        <v>20</v>
      </c>
      <c r="C26" s="10" t="s">
        <v>135</v>
      </c>
    </row>
    <row r="27" spans="1:8" x14ac:dyDescent="0.25">
      <c r="A27" s="5" t="s">
        <v>136</v>
      </c>
      <c r="B27" s="34">
        <f>BTCPriceSeed</f>
        <v>60065.599999999999</v>
      </c>
    </row>
    <row r="28" spans="1:8" x14ac:dyDescent="0.25">
      <c r="A28" s="5" t="s">
        <v>137</v>
      </c>
      <c r="B28" s="33">
        <v>1</v>
      </c>
      <c r="C28" s="10" t="s">
        <v>138</v>
      </c>
    </row>
    <row r="29" spans="1:8" x14ac:dyDescent="0.25">
      <c r="A29" s="57" t="s">
        <v>139</v>
      </c>
      <c r="B29" s="58"/>
      <c r="C29" s="58"/>
      <c r="D29" s="58"/>
      <c r="E29" s="58"/>
      <c r="F29" s="58"/>
      <c r="G29" s="58"/>
      <c r="H29" s="58"/>
    </row>
    <row r="30" spans="1:8" x14ac:dyDescent="0.25">
      <c r="A30" s="2" t="s">
        <v>42</v>
      </c>
      <c r="B30" s="2" t="s">
        <v>127</v>
      </c>
      <c r="C30" s="2" t="s">
        <v>128</v>
      </c>
      <c r="D30" s="2" t="s">
        <v>129</v>
      </c>
      <c r="E30" s="2" t="s">
        <v>140</v>
      </c>
      <c r="F30" s="2" t="s">
        <v>141</v>
      </c>
      <c r="G30" s="2" t="s">
        <v>142</v>
      </c>
      <c r="H30" s="2" t="s">
        <v>143</v>
      </c>
    </row>
    <row r="31" spans="1:8" x14ac:dyDescent="0.25">
      <c r="A31" s="5" t="s">
        <v>144</v>
      </c>
      <c r="B31" s="32">
        <v>0.05</v>
      </c>
      <c r="C31" s="32">
        <v>0.03</v>
      </c>
      <c r="D31" s="32">
        <v>0.02</v>
      </c>
      <c r="E31" s="32">
        <v>0.04</v>
      </c>
      <c r="F31" s="32">
        <v>0.1</v>
      </c>
      <c r="G31" s="32">
        <v>0.02</v>
      </c>
      <c r="H31" s="35">
        <f>IF(AllocStocks+AllocBonds+AllocCash=0,0,(AllocStocks*B31+AllocBonds*C31+AllocCash*D31)/(AllocStocks+AllocBonds+AllocCash))</f>
        <v>4.5333333333333337E-2</v>
      </c>
    </row>
    <row r="32" spans="1:8" x14ac:dyDescent="0.25">
      <c r="A32" s="5" t="s">
        <v>43</v>
      </c>
      <c r="B32" s="32">
        <v>7.0000000000000007E-2</v>
      </c>
      <c r="C32" s="32">
        <v>0.04</v>
      </c>
      <c r="D32" s="32">
        <v>0.03</v>
      </c>
      <c r="E32" s="32">
        <v>0.03</v>
      </c>
      <c r="F32" s="32">
        <v>0.25</v>
      </c>
      <c r="G32" s="32">
        <v>0.05</v>
      </c>
      <c r="H32" s="35">
        <f>IF(AllocStocks+AllocBonds+AllocCash=0,0,(AllocStocks*B32+AllocBonds*C32+AllocCash*D32)/(AllocStocks+AllocBonds+AllocCash))</f>
        <v>6.3333333333333339E-2</v>
      </c>
    </row>
    <row r="33" spans="1:8" x14ac:dyDescent="0.25">
      <c r="A33" s="5" t="s">
        <v>145</v>
      </c>
      <c r="B33" s="32">
        <v>0.1</v>
      </c>
      <c r="C33" s="32">
        <v>0.05</v>
      </c>
      <c r="D33" s="32">
        <v>0.04</v>
      </c>
      <c r="E33" s="32">
        <v>2.5000000000000001E-2</v>
      </c>
      <c r="F33" s="32">
        <v>0.4</v>
      </c>
      <c r="G33" s="32">
        <v>0.08</v>
      </c>
      <c r="H33" s="35">
        <f>IF(AllocStocks+AllocBonds+AllocCash=0,0,(AllocStocks*B33+AllocBonds*C33+AllocCash*D33)/(AllocStocks+AllocBonds+AllocCash))</f>
        <v>8.9333333333333334E-2</v>
      </c>
    </row>
    <row r="34" spans="1:8" x14ac:dyDescent="0.25">
      <c r="A34" s="10" t="s">
        <v>146</v>
      </c>
    </row>
    <row r="36" spans="1:8" x14ac:dyDescent="0.25">
      <c r="A36" s="57" t="s">
        <v>147</v>
      </c>
      <c r="B36" s="58"/>
      <c r="C36" s="58"/>
      <c r="D36" s="58"/>
      <c r="E36" s="58"/>
      <c r="F36" s="58"/>
      <c r="G36" s="58"/>
      <c r="H36" s="58"/>
    </row>
    <row r="37" spans="1:8" x14ac:dyDescent="0.25">
      <c r="A37" s="5" t="s">
        <v>49</v>
      </c>
      <c r="B37" s="10" t="s">
        <v>148</v>
      </c>
    </row>
    <row r="38" spans="1:8" x14ac:dyDescent="0.25">
      <c r="A38" s="5" t="s">
        <v>149</v>
      </c>
      <c r="B38" s="10" t="s">
        <v>150</v>
      </c>
    </row>
    <row r="39" spans="1:8" x14ac:dyDescent="0.25">
      <c r="A39" s="5" t="s">
        <v>151</v>
      </c>
      <c r="B39" s="10" t="s">
        <v>152</v>
      </c>
    </row>
    <row r="40" spans="1:8" x14ac:dyDescent="0.25">
      <c r="A40" s="5" t="s">
        <v>153</v>
      </c>
      <c r="B40" s="10" t="s">
        <v>154</v>
      </c>
    </row>
    <row r="41" spans="1:8" x14ac:dyDescent="0.25">
      <c r="A41" s="5" t="s">
        <v>155</v>
      </c>
      <c r="B41" s="36">
        <v>0.2</v>
      </c>
    </row>
    <row r="42" spans="1:8" x14ac:dyDescent="0.25">
      <c r="A42" s="57" t="s">
        <v>156</v>
      </c>
      <c r="B42" s="58"/>
      <c r="C42" s="58"/>
      <c r="D42" s="58"/>
      <c r="E42" s="58"/>
      <c r="F42" s="58"/>
      <c r="G42" s="58"/>
      <c r="H42" s="58"/>
    </row>
    <row r="43" spans="1:8" x14ac:dyDescent="0.25">
      <c r="A43" s="5" t="s">
        <v>157</v>
      </c>
      <c r="B43" s="7">
        <f>IFERROR(MATCH(ScenarioSelected,ScenNames,0),2)</f>
        <v>2</v>
      </c>
    </row>
    <row r="44" spans="1:8" x14ac:dyDescent="0.25">
      <c r="A44" s="5" t="s">
        <v>158</v>
      </c>
      <c r="B44" s="7">
        <f>IFERROR(MATCH(BTCStress,StressNames,0),1)</f>
        <v>1</v>
      </c>
    </row>
    <row r="45" spans="1:8" x14ac:dyDescent="0.25">
      <c r="A45" s="5" t="s">
        <v>159</v>
      </c>
      <c r="B45" s="23">
        <f>INDEX($E$31:$E$33,ScenIndex)</f>
        <v>0.03</v>
      </c>
    </row>
    <row r="46" spans="1:8" x14ac:dyDescent="0.25">
      <c r="A46" s="5" t="s">
        <v>160</v>
      </c>
      <c r="B46" s="35">
        <f>INDEX($H$31:$H$33,ScenIndex)</f>
        <v>6.3333333333333339E-2</v>
      </c>
    </row>
    <row r="48" spans="1:8" x14ac:dyDescent="0.25">
      <c r="A48" s="12" t="s">
        <v>161</v>
      </c>
      <c r="B48" s="37">
        <f>NetWorthLatest</f>
        <v>76516</v>
      </c>
    </row>
    <row r="50" spans="1:1" x14ac:dyDescent="0.25">
      <c r="A50" s="10" t="s">
        <v>37</v>
      </c>
    </row>
  </sheetData>
  <sheetProtection sheet="1"/>
  <mergeCells count="7">
    <mergeCell ref="A1:H1"/>
    <mergeCell ref="A17:H17"/>
    <mergeCell ref="A3:H3"/>
    <mergeCell ref="A29:H29"/>
    <mergeCell ref="A24:H24"/>
    <mergeCell ref="A42:H42"/>
    <mergeCell ref="A36:H36"/>
  </mergeCells>
  <conditionalFormatting sqref="B22">
    <cfRule type="expression" dxfId="5" priority="1">
      <formula>ABS($B$22-1)&gt;0.001</formula>
    </cfRule>
  </conditionalFormatting>
  <dataValidations count="7">
    <dataValidation type="decimal" errorStyle="warning" allowBlank="1" showInputMessage="1" showErrorMessage="1" promptTitle="Rate" prompt="Enter as a decimal: 0.05 = 5%." sqref="B41 B10:B12 B18:B21" xr:uid="{00000000-0002-0000-0300-000000000000}">
      <formula1>0</formula1>
      <formula2>1</formula2>
    </dataValidation>
    <dataValidation type="whole" errorStyle="warning" allowBlank="1" showInputMessage="1" showErrorMessage="1" promptTitle="Whole number" prompt="Whole number between 16 and 100." sqref="B4 B5 B6" xr:uid="{00000000-0002-0000-0300-000001000000}">
      <formula1>16</formula1>
      <formula2>100</formula2>
    </dataValidation>
    <dataValidation type="decimal" errorStyle="warning" operator="greaterThanOrEqual" allowBlank="1" showInputMessage="1" showErrorMessage="1" promptTitle="Amount" prompt="Enter a dollar (or unit) amount, 0 or more." sqref="B7 B8 B14 B15 B25 B28" xr:uid="{00000000-0002-0000-0300-000002000000}">
      <formula1>0</formula1>
    </dataValidation>
    <dataValidation type="list" errorStyle="warning" allowBlank="1" showInputMessage="1" showErrorMessage="1" promptTitle="Choose an option" prompt="Pick from the dropdown (click the arrow)." sqref="B9" xr:uid="{00000000-0002-0000-0300-000004000000}">
      <formula1>"Single,MFJ"</formula1>
    </dataValidation>
    <dataValidation type="whole" errorStyle="warning" allowBlank="1" showInputMessage="1" showErrorMessage="1" promptTitle="Whole number" prompt="Whole number between 2020 and 2100." sqref="B13" xr:uid="{00000000-0002-0000-0300-000005000000}">
      <formula1>2020</formula1>
      <formula2>2100</formula2>
    </dataValidation>
    <dataValidation type="whole" errorStyle="warning" allowBlank="1" showInputMessage="1" showErrorMessage="1" promptTitle="Whole number" prompt="Whole number between 1 and 50." sqref="B26" xr:uid="{00000000-0002-0000-0300-000006000000}">
      <formula1>1</formula1>
      <formula2>50</formula2>
    </dataValidation>
    <dataValidation type="decimal" errorStyle="warning" allowBlank="1" showInputMessage="1" showErrorMessage="1" promptTitle="Rate" prompt="Enter as a decimal: 0.05 = 5%." sqref="B31 B32 B33 C31 C32 C33 D31 D32 D33 E31 E32 E33 F31 F32 F33 G31 G32 G33" xr:uid="{00000000-0002-0000-0300-000007000000}">
      <formula1>-1</formula1>
      <formula2>1</formula2>
    </dataValidation>
  </dataValidations>
  <pageMargins left="0.75" right="0.75" top="1" bottom="1" header="0.5" footer="0.5"/>
  <pageSetup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F4E79"/>
    <pageSetUpPr fitToPage="1"/>
  </sheetPr>
  <dimension ref="A1:L42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12" customWidth="1"/>
    <col min="2" max="3" width="11" customWidth="1"/>
    <col min="4" max="4" width="12" customWidth="1"/>
    <col min="5" max="5" width="11" customWidth="1"/>
    <col min="6" max="8" width="12" customWidth="1"/>
    <col min="9" max="9" width="13" customWidth="1"/>
    <col min="11" max="11" width="18" customWidth="1"/>
    <col min="12" max="12" width="14" customWidth="1"/>
  </cols>
  <sheetData>
    <row r="1" spans="1:12" ht="24" customHeight="1" x14ac:dyDescent="0.25">
      <c r="A1" s="59" t="s">
        <v>162</v>
      </c>
      <c r="B1" s="60"/>
      <c r="C1" s="60"/>
      <c r="D1" s="60"/>
      <c r="E1" s="60"/>
      <c r="F1" s="60"/>
      <c r="G1" s="60"/>
      <c r="H1" s="60"/>
      <c r="I1" s="60"/>
      <c r="J1" s="60"/>
    </row>
    <row r="2" spans="1:12" x14ac:dyDescent="0.25">
      <c r="A2" s="10" t="s">
        <v>163</v>
      </c>
      <c r="K2" s="9" t="str">
        <f>HYPERLINK("#Dashboard!A1","&lt; Dashboard")</f>
        <v>&lt; Dashboard</v>
      </c>
    </row>
    <row r="4" spans="1:12" x14ac:dyDescent="0.25">
      <c r="A4" s="2" t="s">
        <v>164</v>
      </c>
      <c r="B4" s="2" t="s">
        <v>129</v>
      </c>
      <c r="C4" s="2" t="s">
        <v>165</v>
      </c>
      <c r="D4" s="2" t="s">
        <v>166</v>
      </c>
      <c r="E4" s="2" t="s">
        <v>167</v>
      </c>
      <c r="F4" s="2" t="s">
        <v>168</v>
      </c>
      <c r="G4" s="2" t="s">
        <v>169</v>
      </c>
      <c r="H4" s="2" t="s">
        <v>170</v>
      </c>
      <c r="I4" s="2" t="s">
        <v>171</v>
      </c>
    </row>
    <row r="5" spans="1:12" x14ac:dyDescent="0.25">
      <c r="A5" s="38">
        <v>46054</v>
      </c>
      <c r="B5" s="25">
        <v>10000</v>
      </c>
      <c r="C5" s="25">
        <v>38000</v>
      </c>
      <c r="D5" s="25">
        <v>15000</v>
      </c>
      <c r="E5" s="25">
        <v>11000</v>
      </c>
      <c r="F5" s="25">
        <v>0</v>
      </c>
      <c r="G5" s="25">
        <v>2000</v>
      </c>
      <c r="H5" s="25">
        <v>13000</v>
      </c>
      <c r="I5" s="28">
        <f t="shared" ref="I5:I40" si="0">IF($A5="","-",SUM(B5:G5)-H5)</f>
        <v>63000</v>
      </c>
      <c r="K5" s="12" t="s">
        <v>172</v>
      </c>
      <c r="L5" s="26">
        <f>LOOKUP(9.99E+307,$I$5:$I$40)</f>
        <v>76516</v>
      </c>
    </row>
    <row r="6" spans="1:12" x14ac:dyDescent="0.25">
      <c r="A6" s="38">
        <v>46082</v>
      </c>
      <c r="B6" s="25">
        <v>10500</v>
      </c>
      <c r="C6" s="25">
        <v>38900</v>
      </c>
      <c r="D6" s="25">
        <v>15600</v>
      </c>
      <c r="E6" s="25">
        <v>11500</v>
      </c>
      <c r="F6" s="25">
        <v>0</v>
      </c>
      <c r="G6" s="25">
        <v>2000</v>
      </c>
      <c r="H6" s="25">
        <v>12900</v>
      </c>
      <c r="I6" s="28">
        <f t="shared" si="0"/>
        <v>65600</v>
      </c>
      <c r="K6" s="10" t="s">
        <v>173</v>
      </c>
    </row>
    <row r="7" spans="1:12" x14ac:dyDescent="0.25">
      <c r="A7" s="38">
        <v>46113</v>
      </c>
      <c r="B7" s="25">
        <v>11000</v>
      </c>
      <c r="C7" s="25">
        <v>39800</v>
      </c>
      <c r="D7" s="25">
        <v>16200</v>
      </c>
      <c r="E7" s="25">
        <v>12500</v>
      </c>
      <c r="F7" s="25">
        <v>0</v>
      </c>
      <c r="G7" s="25">
        <v>2000</v>
      </c>
      <c r="H7" s="25">
        <v>12800</v>
      </c>
      <c r="I7" s="28">
        <f t="shared" si="0"/>
        <v>68700</v>
      </c>
    </row>
    <row r="8" spans="1:12" x14ac:dyDescent="0.25">
      <c r="A8" s="38">
        <v>46143</v>
      </c>
      <c r="B8" s="25">
        <v>11500</v>
      </c>
      <c r="C8" s="25">
        <v>40700</v>
      </c>
      <c r="D8" s="25">
        <v>16900</v>
      </c>
      <c r="E8" s="25">
        <v>13200</v>
      </c>
      <c r="F8" s="25">
        <v>0</v>
      </c>
      <c r="G8" s="25">
        <v>2000</v>
      </c>
      <c r="H8" s="25">
        <v>12700</v>
      </c>
      <c r="I8" s="28">
        <f t="shared" si="0"/>
        <v>71600</v>
      </c>
    </row>
    <row r="9" spans="1:12" x14ac:dyDescent="0.25">
      <c r="A9" s="38">
        <v>46174</v>
      </c>
      <c r="B9" s="25">
        <v>11800</v>
      </c>
      <c r="C9" s="25">
        <v>41300</v>
      </c>
      <c r="D9" s="25">
        <v>17400</v>
      </c>
      <c r="E9" s="25">
        <v>14100</v>
      </c>
      <c r="F9" s="25">
        <v>0</v>
      </c>
      <c r="G9" s="25">
        <v>2000</v>
      </c>
      <c r="H9" s="25">
        <v>12600</v>
      </c>
      <c r="I9" s="28">
        <f t="shared" si="0"/>
        <v>74000</v>
      </c>
    </row>
    <row r="10" spans="1:12" x14ac:dyDescent="0.25">
      <c r="A10" s="38">
        <v>46204</v>
      </c>
      <c r="B10" s="25">
        <v>12000</v>
      </c>
      <c r="C10" s="25">
        <v>42000</v>
      </c>
      <c r="D10" s="25">
        <v>18000</v>
      </c>
      <c r="E10" s="25">
        <v>15016</v>
      </c>
      <c r="F10" s="25">
        <v>0</v>
      </c>
      <c r="G10" s="25">
        <v>2000</v>
      </c>
      <c r="H10" s="25">
        <v>12500</v>
      </c>
      <c r="I10" s="28">
        <f t="shared" si="0"/>
        <v>76516</v>
      </c>
    </row>
    <row r="11" spans="1:12" x14ac:dyDescent="0.25">
      <c r="A11" s="38"/>
      <c r="B11" s="25"/>
      <c r="C11" s="25"/>
      <c r="D11" s="25"/>
      <c r="E11" s="25"/>
      <c r="F11" s="25"/>
      <c r="G11" s="25"/>
      <c r="H11" s="25"/>
      <c r="I11" s="28" t="str">
        <f t="shared" si="0"/>
        <v>-</v>
      </c>
    </row>
    <row r="12" spans="1:12" x14ac:dyDescent="0.25">
      <c r="A12" s="38"/>
      <c r="B12" s="25"/>
      <c r="C12" s="25"/>
      <c r="D12" s="25"/>
      <c r="E12" s="25"/>
      <c r="F12" s="25"/>
      <c r="G12" s="25"/>
      <c r="H12" s="25"/>
      <c r="I12" s="28" t="str">
        <f t="shared" si="0"/>
        <v>-</v>
      </c>
    </row>
    <row r="13" spans="1:12" x14ac:dyDescent="0.25">
      <c r="A13" s="38"/>
      <c r="B13" s="25"/>
      <c r="C13" s="25"/>
      <c r="D13" s="25"/>
      <c r="E13" s="25"/>
      <c r="F13" s="25"/>
      <c r="G13" s="25"/>
      <c r="H13" s="25"/>
      <c r="I13" s="28" t="str">
        <f t="shared" si="0"/>
        <v>-</v>
      </c>
    </row>
    <row r="14" spans="1:12" x14ac:dyDescent="0.25">
      <c r="A14" s="38"/>
      <c r="B14" s="25"/>
      <c r="C14" s="25"/>
      <c r="D14" s="25"/>
      <c r="E14" s="25"/>
      <c r="F14" s="25"/>
      <c r="G14" s="25"/>
      <c r="H14" s="25"/>
      <c r="I14" s="28" t="str">
        <f t="shared" si="0"/>
        <v>-</v>
      </c>
    </row>
    <row r="15" spans="1:12" x14ac:dyDescent="0.25">
      <c r="A15" s="38"/>
      <c r="B15" s="25"/>
      <c r="C15" s="25"/>
      <c r="D15" s="25"/>
      <c r="E15" s="25"/>
      <c r="F15" s="25"/>
      <c r="G15" s="25"/>
      <c r="H15" s="25"/>
      <c r="I15" s="28" t="str">
        <f t="shared" si="0"/>
        <v>-</v>
      </c>
    </row>
    <row r="16" spans="1:12" x14ac:dyDescent="0.25">
      <c r="A16" s="38"/>
      <c r="B16" s="25"/>
      <c r="C16" s="25"/>
      <c r="D16" s="25"/>
      <c r="E16" s="25"/>
      <c r="F16" s="25"/>
      <c r="G16" s="25"/>
      <c r="H16" s="25"/>
      <c r="I16" s="28" t="str">
        <f t="shared" si="0"/>
        <v>-</v>
      </c>
    </row>
    <row r="17" spans="1:9" x14ac:dyDescent="0.25">
      <c r="A17" s="38"/>
      <c r="B17" s="25"/>
      <c r="C17" s="25"/>
      <c r="D17" s="25"/>
      <c r="E17" s="25"/>
      <c r="F17" s="25"/>
      <c r="G17" s="25"/>
      <c r="H17" s="25"/>
      <c r="I17" s="28" t="str">
        <f t="shared" si="0"/>
        <v>-</v>
      </c>
    </row>
    <row r="18" spans="1:9" x14ac:dyDescent="0.25">
      <c r="A18" s="38"/>
      <c r="B18" s="25"/>
      <c r="C18" s="25"/>
      <c r="D18" s="25"/>
      <c r="E18" s="25"/>
      <c r="F18" s="25"/>
      <c r="G18" s="25"/>
      <c r="H18" s="25"/>
      <c r="I18" s="28" t="str">
        <f t="shared" si="0"/>
        <v>-</v>
      </c>
    </row>
    <row r="19" spans="1:9" x14ac:dyDescent="0.25">
      <c r="A19" s="38"/>
      <c r="B19" s="25"/>
      <c r="C19" s="25"/>
      <c r="D19" s="25"/>
      <c r="E19" s="25"/>
      <c r="F19" s="25"/>
      <c r="G19" s="25"/>
      <c r="H19" s="25"/>
      <c r="I19" s="28" t="str">
        <f t="shared" si="0"/>
        <v>-</v>
      </c>
    </row>
    <row r="20" spans="1:9" x14ac:dyDescent="0.25">
      <c r="A20" s="38"/>
      <c r="B20" s="25"/>
      <c r="C20" s="25"/>
      <c r="D20" s="25"/>
      <c r="E20" s="25"/>
      <c r="F20" s="25"/>
      <c r="G20" s="25"/>
      <c r="H20" s="25"/>
      <c r="I20" s="28" t="str">
        <f t="shared" si="0"/>
        <v>-</v>
      </c>
    </row>
    <row r="21" spans="1:9" x14ac:dyDescent="0.25">
      <c r="A21" s="38"/>
      <c r="B21" s="25"/>
      <c r="C21" s="25"/>
      <c r="D21" s="25"/>
      <c r="E21" s="25"/>
      <c r="F21" s="25"/>
      <c r="G21" s="25"/>
      <c r="H21" s="25"/>
      <c r="I21" s="28" t="str">
        <f t="shared" si="0"/>
        <v>-</v>
      </c>
    </row>
    <row r="22" spans="1:9" x14ac:dyDescent="0.25">
      <c r="A22" s="38"/>
      <c r="B22" s="25"/>
      <c r="C22" s="25"/>
      <c r="D22" s="25"/>
      <c r="E22" s="25"/>
      <c r="F22" s="25"/>
      <c r="G22" s="25"/>
      <c r="H22" s="25"/>
      <c r="I22" s="28" t="str">
        <f t="shared" si="0"/>
        <v>-</v>
      </c>
    </row>
    <row r="23" spans="1:9" x14ac:dyDescent="0.25">
      <c r="A23" s="38"/>
      <c r="B23" s="25"/>
      <c r="C23" s="25"/>
      <c r="D23" s="25"/>
      <c r="E23" s="25"/>
      <c r="F23" s="25"/>
      <c r="G23" s="25"/>
      <c r="H23" s="25"/>
      <c r="I23" s="28" t="str">
        <f t="shared" si="0"/>
        <v>-</v>
      </c>
    </row>
    <row r="24" spans="1:9" x14ac:dyDescent="0.25">
      <c r="A24" s="38"/>
      <c r="B24" s="25"/>
      <c r="C24" s="25"/>
      <c r="D24" s="25"/>
      <c r="E24" s="25"/>
      <c r="F24" s="25"/>
      <c r="G24" s="25"/>
      <c r="H24" s="25"/>
      <c r="I24" s="28" t="str">
        <f t="shared" si="0"/>
        <v>-</v>
      </c>
    </row>
    <row r="25" spans="1:9" x14ac:dyDescent="0.25">
      <c r="A25" s="38"/>
      <c r="B25" s="25"/>
      <c r="C25" s="25"/>
      <c r="D25" s="25"/>
      <c r="E25" s="25"/>
      <c r="F25" s="25"/>
      <c r="G25" s="25"/>
      <c r="H25" s="25"/>
      <c r="I25" s="28" t="str">
        <f t="shared" si="0"/>
        <v>-</v>
      </c>
    </row>
    <row r="26" spans="1:9" x14ac:dyDescent="0.25">
      <c r="A26" s="38"/>
      <c r="B26" s="25"/>
      <c r="C26" s="25"/>
      <c r="D26" s="25"/>
      <c r="E26" s="25"/>
      <c r="F26" s="25"/>
      <c r="G26" s="25"/>
      <c r="H26" s="25"/>
      <c r="I26" s="28" t="str">
        <f t="shared" si="0"/>
        <v>-</v>
      </c>
    </row>
    <row r="27" spans="1:9" x14ac:dyDescent="0.25">
      <c r="A27" s="38"/>
      <c r="B27" s="25"/>
      <c r="C27" s="25"/>
      <c r="D27" s="25"/>
      <c r="E27" s="25"/>
      <c r="F27" s="25"/>
      <c r="G27" s="25"/>
      <c r="H27" s="25"/>
      <c r="I27" s="28" t="str">
        <f t="shared" si="0"/>
        <v>-</v>
      </c>
    </row>
    <row r="28" spans="1:9" x14ac:dyDescent="0.25">
      <c r="A28" s="38"/>
      <c r="B28" s="25"/>
      <c r="C28" s="25"/>
      <c r="D28" s="25"/>
      <c r="E28" s="25"/>
      <c r="F28" s="25"/>
      <c r="G28" s="25"/>
      <c r="H28" s="25"/>
      <c r="I28" s="28" t="str">
        <f t="shared" si="0"/>
        <v>-</v>
      </c>
    </row>
    <row r="29" spans="1:9" x14ac:dyDescent="0.25">
      <c r="A29" s="38"/>
      <c r="B29" s="25"/>
      <c r="C29" s="25"/>
      <c r="D29" s="25"/>
      <c r="E29" s="25"/>
      <c r="F29" s="25"/>
      <c r="G29" s="25"/>
      <c r="H29" s="25"/>
      <c r="I29" s="28" t="str">
        <f t="shared" si="0"/>
        <v>-</v>
      </c>
    </row>
    <row r="30" spans="1:9" x14ac:dyDescent="0.25">
      <c r="A30" s="38"/>
      <c r="B30" s="25"/>
      <c r="C30" s="25"/>
      <c r="D30" s="25"/>
      <c r="E30" s="25"/>
      <c r="F30" s="25"/>
      <c r="G30" s="25"/>
      <c r="H30" s="25"/>
      <c r="I30" s="28" t="str">
        <f t="shared" si="0"/>
        <v>-</v>
      </c>
    </row>
    <row r="31" spans="1:9" x14ac:dyDescent="0.25">
      <c r="A31" s="38"/>
      <c r="B31" s="25"/>
      <c r="C31" s="25"/>
      <c r="D31" s="25"/>
      <c r="E31" s="25"/>
      <c r="F31" s="25"/>
      <c r="G31" s="25"/>
      <c r="H31" s="25"/>
      <c r="I31" s="28" t="str">
        <f t="shared" si="0"/>
        <v>-</v>
      </c>
    </row>
    <row r="32" spans="1:9" x14ac:dyDescent="0.25">
      <c r="A32" s="38"/>
      <c r="B32" s="25"/>
      <c r="C32" s="25"/>
      <c r="D32" s="25"/>
      <c r="E32" s="25"/>
      <c r="F32" s="25"/>
      <c r="G32" s="25"/>
      <c r="H32" s="25"/>
      <c r="I32" s="28" t="str">
        <f t="shared" si="0"/>
        <v>-</v>
      </c>
    </row>
    <row r="33" spans="1:9" x14ac:dyDescent="0.25">
      <c r="A33" s="38"/>
      <c r="B33" s="25"/>
      <c r="C33" s="25"/>
      <c r="D33" s="25"/>
      <c r="E33" s="25"/>
      <c r="F33" s="25"/>
      <c r="G33" s="25"/>
      <c r="H33" s="25"/>
      <c r="I33" s="28" t="str">
        <f t="shared" si="0"/>
        <v>-</v>
      </c>
    </row>
    <row r="34" spans="1:9" x14ac:dyDescent="0.25">
      <c r="A34" s="38"/>
      <c r="B34" s="25"/>
      <c r="C34" s="25"/>
      <c r="D34" s="25"/>
      <c r="E34" s="25"/>
      <c r="F34" s="25"/>
      <c r="G34" s="25"/>
      <c r="H34" s="25"/>
      <c r="I34" s="28" t="str">
        <f t="shared" si="0"/>
        <v>-</v>
      </c>
    </row>
    <row r="35" spans="1:9" x14ac:dyDescent="0.25">
      <c r="A35" s="38"/>
      <c r="B35" s="25"/>
      <c r="C35" s="25"/>
      <c r="D35" s="25"/>
      <c r="E35" s="25"/>
      <c r="F35" s="25"/>
      <c r="G35" s="25"/>
      <c r="H35" s="25"/>
      <c r="I35" s="28" t="str">
        <f t="shared" si="0"/>
        <v>-</v>
      </c>
    </row>
    <row r="36" spans="1:9" x14ac:dyDescent="0.25">
      <c r="A36" s="38"/>
      <c r="B36" s="25"/>
      <c r="C36" s="25"/>
      <c r="D36" s="25"/>
      <c r="E36" s="25"/>
      <c r="F36" s="25"/>
      <c r="G36" s="25"/>
      <c r="H36" s="25"/>
      <c r="I36" s="28" t="str">
        <f t="shared" si="0"/>
        <v>-</v>
      </c>
    </row>
    <row r="37" spans="1:9" x14ac:dyDescent="0.25">
      <c r="A37" s="38"/>
      <c r="B37" s="25"/>
      <c r="C37" s="25"/>
      <c r="D37" s="25"/>
      <c r="E37" s="25"/>
      <c r="F37" s="25"/>
      <c r="G37" s="25"/>
      <c r="H37" s="25"/>
      <c r="I37" s="28" t="str">
        <f t="shared" si="0"/>
        <v>-</v>
      </c>
    </row>
    <row r="38" spans="1:9" x14ac:dyDescent="0.25">
      <c r="A38" s="38"/>
      <c r="B38" s="25"/>
      <c r="C38" s="25"/>
      <c r="D38" s="25"/>
      <c r="E38" s="25"/>
      <c r="F38" s="25"/>
      <c r="G38" s="25"/>
      <c r="H38" s="25"/>
      <c r="I38" s="28" t="str">
        <f t="shared" si="0"/>
        <v>-</v>
      </c>
    </row>
    <row r="39" spans="1:9" x14ac:dyDescent="0.25">
      <c r="A39" s="38"/>
      <c r="B39" s="25"/>
      <c r="C39" s="25"/>
      <c r="D39" s="25"/>
      <c r="E39" s="25"/>
      <c r="F39" s="25"/>
      <c r="G39" s="25"/>
      <c r="H39" s="25"/>
      <c r="I39" s="28" t="str">
        <f t="shared" si="0"/>
        <v>-</v>
      </c>
    </row>
    <row r="40" spans="1:9" x14ac:dyDescent="0.25">
      <c r="A40" s="38"/>
      <c r="B40" s="25"/>
      <c r="C40" s="25"/>
      <c r="D40" s="25"/>
      <c r="E40" s="25"/>
      <c r="F40" s="25"/>
      <c r="G40" s="25"/>
      <c r="H40" s="25"/>
      <c r="I40" s="28" t="str">
        <f t="shared" si="0"/>
        <v>-</v>
      </c>
    </row>
    <row r="42" spans="1:9" x14ac:dyDescent="0.25">
      <c r="A42" s="10" t="s">
        <v>37</v>
      </c>
    </row>
  </sheetData>
  <sheetProtection sheet="1"/>
  <mergeCells count="1">
    <mergeCell ref="A1:J1"/>
  </mergeCells>
  <dataValidations count="1">
    <dataValidation type="decimal" errorStyle="warning" operator="greaterThanOrEqual" allowBlank="1" showInputMessage="1" showErrorMessage="1" promptTitle="Amount" prompt="Enter a dollar (or unit) amount, 0 or more." sqref="B5:H40" xr:uid="{00000000-0002-0000-0400-000000000000}">
      <formula1>0</formula1>
    </dataValidation>
  </dataValidations>
  <pageMargins left="0.75" right="0.75" top="1" bottom="1" header="0.5" footer="0.5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4546A"/>
    <pageSetUpPr fitToPage="1"/>
  </sheetPr>
  <dimension ref="A1:F2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48" customWidth="1"/>
    <col min="2" max="2" width="16" customWidth="1"/>
    <col min="3" max="3" width="50" customWidth="1"/>
  </cols>
  <sheetData>
    <row r="1" spans="1:6" ht="24" customHeight="1" x14ac:dyDescent="0.25">
      <c r="A1" s="59" t="s">
        <v>174</v>
      </c>
      <c r="B1" s="60"/>
      <c r="C1" s="60"/>
      <c r="D1" s="60"/>
      <c r="E1" s="60"/>
      <c r="F1" s="60"/>
    </row>
    <row r="2" spans="1:6" x14ac:dyDescent="0.25">
      <c r="A2" s="10" t="s">
        <v>175</v>
      </c>
      <c r="E2" s="9" t="str">
        <f>HYPERLINK("#Dashboard!A1","&lt; Dashboard")</f>
        <v>&lt; Dashboard</v>
      </c>
    </row>
    <row r="4" spans="1:6" x14ac:dyDescent="0.25">
      <c r="A4" s="5" t="s">
        <v>176</v>
      </c>
      <c r="B4" s="28">
        <f>MonthlyExpenses*12*RetSpendPct</f>
        <v>36480</v>
      </c>
    </row>
    <row r="5" spans="1:6" x14ac:dyDescent="0.25">
      <c r="A5" s="12" t="s">
        <v>177</v>
      </c>
      <c r="B5" s="26">
        <f>IF(SWR=0,0,RetAnnualSpend/SWR)</f>
        <v>912000</v>
      </c>
    </row>
    <row r="6" spans="1:6" x14ac:dyDescent="0.25">
      <c r="A6" s="5" t="s">
        <v>178</v>
      </c>
      <c r="B6" s="28">
        <f>SSAnnualBenefit+PensionAnnual</f>
        <v>24000</v>
      </c>
    </row>
    <row r="7" spans="1:6" x14ac:dyDescent="0.25">
      <c r="A7" s="12" t="s">
        <v>179</v>
      </c>
      <c r="B7" s="26">
        <f>IF(SWR=0,0,MAX(0,RetAnnualSpend-SSAnnualBenefit-PensionAnnual)/SWR)</f>
        <v>312000</v>
      </c>
    </row>
    <row r="8" spans="1:6" x14ac:dyDescent="0.25">
      <c r="A8" s="5" t="s">
        <v>180</v>
      </c>
      <c r="B8" s="39">
        <f>MAX(0,SSStartAge-TargetAge)</f>
        <v>17</v>
      </c>
    </row>
    <row r="9" spans="1:6" x14ac:dyDescent="0.25">
      <c r="A9" s="5" t="s">
        <v>181</v>
      </c>
      <c r="B9" s="28">
        <f>BridgeYears*MAX(0,RetAnnualSpend-PensionAnnual)</f>
        <v>620160</v>
      </c>
      <c r="C9" s="10" t="s">
        <v>182</v>
      </c>
    </row>
    <row r="11" spans="1:6" x14ac:dyDescent="0.25">
      <c r="A11" s="57" t="s">
        <v>183</v>
      </c>
      <c r="B11" s="58"/>
      <c r="C11" s="58"/>
      <c r="D11" s="58"/>
      <c r="E11" s="58"/>
      <c r="F11" s="58"/>
    </row>
    <row r="12" spans="1:6" x14ac:dyDescent="0.25">
      <c r="A12" s="5" t="s">
        <v>184</v>
      </c>
      <c r="B12" s="28">
        <f>StartPortfolio+BTCStack*BTCPriceSeed</f>
        <v>75016.399999999994</v>
      </c>
    </row>
    <row r="13" spans="1:6" x14ac:dyDescent="0.25">
      <c r="A13" s="5" t="s">
        <v>185</v>
      </c>
      <c r="B13" s="23">
        <f>IF(FINumber=0,0,B12/FINumber)</f>
        <v>8.2254824561403497E-2</v>
      </c>
    </row>
    <row r="15" spans="1:6" x14ac:dyDescent="0.25">
      <c r="A15" s="5" t="s">
        <v>186</v>
      </c>
      <c r="B15" s="7">
        <f>IFERROR(INDEX(ProjAges,MATCH(1,ProjFIFlagWith,0)),"Not by age "&amp;(CurrentAge+60))</f>
        <v>45</v>
      </c>
    </row>
    <row r="16" spans="1:6" x14ac:dyDescent="0.25">
      <c r="A16" s="5" t="s">
        <v>187</v>
      </c>
      <c r="B16" s="7">
        <f>IFERROR(INDEX(ProjAges,MATCH(1,ProjFIFlagNo,0)),"Not by age "&amp;(CurrentAge+60))</f>
        <v>48</v>
      </c>
    </row>
    <row r="17" spans="1:2" x14ac:dyDescent="0.25">
      <c r="A17" s="5" t="s">
        <v>188</v>
      </c>
      <c r="B17" s="27">
        <f>WithBTCSelTarget</f>
        <v>1433925.1495890557</v>
      </c>
    </row>
    <row r="18" spans="1:2" x14ac:dyDescent="0.25">
      <c r="A18" s="5" t="s">
        <v>189</v>
      </c>
      <c r="B18" s="27">
        <f>NoBTCSelTarget</f>
        <v>1079816.1057237864</v>
      </c>
    </row>
    <row r="20" spans="1:2" x14ac:dyDescent="0.25">
      <c r="A20" s="10" t="s">
        <v>190</v>
      </c>
    </row>
    <row r="22" spans="1:2" x14ac:dyDescent="0.25">
      <c r="A22" s="10" t="s">
        <v>37</v>
      </c>
    </row>
  </sheetData>
  <sheetProtection sheet="1"/>
  <mergeCells count="2">
    <mergeCell ref="A11:F11"/>
    <mergeCell ref="A1:F1"/>
  </mergeCells>
  <pageMargins left="0.75" right="0.75" top="1" bottom="1" header="0.5" footer="0.5"/>
  <pageSetup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546A"/>
    <pageSetUpPr fitToPage="1"/>
  </sheetPr>
  <dimension ref="A1:F33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52" customWidth="1"/>
    <col min="2" max="2" width="15" customWidth="1"/>
    <col min="3" max="3" width="40" customWidth="1"/>
  </cols>
  <sheetData>
    <row r="1" spans="1:6" ht="24" customHeight="1" x14ac:dyDescent="0.25">
      <c r="A1" s="59" t="s">
        <v>191</v>
      </c>
      <c r="B1" s="60"/>
      <c r="C1" s="60"/>
      <c r="D1" s="60"/>
      <c r="E1" s="60"/>
      <c r="F1" s="60"/>
    </row>
    <row r="2" spans="1:6" x14ac:dyDescent="0.25">
      <c r="A2" s="10" t="s">
        <v>192</v>
      </c>
      <c r="D2" s="9" t="str">
        <f>HYPERLINK("#Dashboard!A1","&lt; Dashboard")</f>
        <v>&lt; Dashboard</v>
      </c>
    </row>
    <row r="3" spans="1:6" x14ac:dyDescent="0.25">
      <c r="A3" s="57" t="s">
        <v>193</v>
      </c>
      <c r="B3" s="58"/>
      <c r="C3" s="58"/>
      <c r="D3" s="58"/>
      <c r="E3" s="58"/>
      <c r="F3" s="58"/>
    </row>
    <row r="4" spans="1:6" x14ac:dyDescent="0.25">
      <c r="A4" s="5" t="s">
        <v>194</v>
      </c>
      <c r="B4" s="25">
        <v>40000</v>
      </c>
    </row>
    <row r="5" spans="1:6" x14ac:dyDescent="0.25">
      <c r="A5" s="5" t="s">
        <v>195</v>
      </c>
      <c r="B5" s="25">
        <v>10000</v>
      </c>
    </row>
    <row r="6" spans="1:6" x14ac:dyDescent="0.25">
      <c r="A6" s="5" t="s">
        <v>196</v>
      </c>
      <c r="B6" s="25">
        <v>20000</v>
      </c>
    </row>
    <row r="7" spans="1:6" x14ac:dyDescent="0.25">
      <c r="A7" s="5" t="s">
        <v>197</v>
      </c>
      <c r="B7" s="32">
        <v>0.6</v>
      </c>
    </row>
    <row r="8" spans="1:6" x14ac:dyDescent="0.25">
      <c r="A8" s="5" t="s">
        <v>198</v>
      </c>
      <c r="B8" s="25">
        <v>0</v>
      </c>
    </row>
    <row r="10" spans="1:6" x14ac:dyDescent="0.25">
      <c r="A10" s="57" t="s">
        <v>199</v>
      </c>
      <c r="B10" s="58"/>
      <c r="C10" s="58"/>
      <c r="D10" s="58"/>
      <c r="E10" s="58"/>
      <c r="F10" s="58"/>
    </row>
    <row r="11" spans="1:6" x14ac:dyDescent="0.25">
      <c r="A11" s="5" t="s">
        <v>200</v>
      </c>
      <c r="B11" s="28">
        <f>DDTrad+DDRoth+DDTaxable+DDOtherOrd</f>
        <v>70000</v>
      </c>
    </row>
    <row r="12" spans="1:6" x14ac:dyDescent="0.25">
      <c r="A12" s="5" t="s">
        <v>201</v>
      </c>
      <c r="B12" s="28">
        <f>DDTrad+DDOtherOrd</f>
        <v>40000</v>
      </c>
    </row>
    <row r="13" spans="1:6" x14ac:dyDescent="0.25">
      <c r="A13" s="5" t="s">
        <v>202</v>
      </c>
      <c r="B13" s="28">
        <f>DDTaxable*DDGainPct</f>
        <v>12000</v>
      </c>
    </row>
    <row r="14" spans="1:6" x14ac:dyDescent="0.25">
      <c r="A14" s="5" t="s">
        <v>203</v>
      </c>
      <c r="B14" s="28">
        <f>MAX(0,B12-StdDedActive)</f>
        <v>23900</v>
      </c>
    </row>
    <row r="15" spans="1:6" x14ac:dyDescent="0.25">
      <c r="A15" s="5" t="s">
        <v>204</v>
      </c>
      <c r="B15" s="28">
        <f>MAX(0,B12+B13-StdDedActive)</f>
        <v>35900</v>
      </c>
    </row>
    <row r="16" spans="1:6" x14ac:dyDescent="0.25">
      <c r="A16" s="5" t="s">
        <v>205</v>
      </c>
      <c r="B16" s="28">
        <f>B15-B14</f>
        <v>12000</v>
      </c>
    </row>
    <row r="17" spans="1:6" x14ac:dyDescent="0.25">
      <c r="A17" s="5" t="s">
        <v>206</v>
      </c>
      <c r="B17" s="40">
        <f>SUMPRODUCT((B14&gt;TaxLowerActive)*(B14-TaxLowerActive)*TaxRateDiff)</f>
        <v>2620</v>
      </c>
    </row>
    <row r="18" spans="1:6" x14ac:dyDescent="0.25">
      <c r="A18" s="5" t="s">
        <v>207</v>
      </c>
      <c r="B18" s="40">
        <f>LTCGRate15*MAX(0,MIN(B14+B16,LTCG15Active)-MAX(B14,LTCG0Active))+LTCGRate20*MAX(0,B14+B16-MAX(B14,LTCG15Active))</f>
        <v>0</v>
      </c>
    </row>
    <row r="19" spans="1:6" x14ac:dyDescent="0.25">
      <c r="A19" s="5" t="s">
        <v>208</v>
      </c>
      <c r="B19" s="40">
        <f>NIITRate*MIN(MAX(0,B13),MAX(0,B12+B13-NIITThreshActive))</f>
        <v>0</v>
      </c>
    </row>
    <row r="20" spans="1:6" x14ac:dyDescent="0.25">
      <c r="A20" s="5" t="s">
        <v>209</v>
      </c>
      <c r="B20" s="40">
        <f>StateRate*B15</f>
        <v>1795</v>
      </c>
    </row>
    <row r="21" spans="1:6" x14ac:dyDescent="0.25">
      <c r="A21" s="12" t="s">
        <v>210</v>
      </c>
      <c r="B21" s="41">
        <f>B17+B18+B19+B20</f>
        <v>4415</v>
      </c>
    </row>
    <row r="22" spans="1:6" x14ac:dyDescent="0.25">
      <c r="A22" s="12" t="s">
        <v>211</v>
      </c>
      <c r="B22" s="26">
        <f>B11-B21</f>
        <v>65585</v>
      </c>
    </row>
    <row r="23" spans="1:6" x14ac:dyDescent="0.25">
      <c r="A23" s="5" t="s">
        <v>212</v>
      </c>
      <c r="B23" s="35">
        <f>IF(B11=0,0,B21/B11)</f>
        <v>6.307142857142857E-2</v>
      </c>
    </row>
    <row r="25" spans="1:6" x14ac:dyDescent="0.25">
      <c r="A25" s="5" t="s">
        <v>213</v>
      </c>
      <c r="B25" s="27">
        <f>RetAnnualSpend</f>
        <v>36480</v>
      </c>
    </row>
    <row r="26" spans="1:6" x14ac:dyDescent="0.25">
      <c r="A26" s="5" t="s">
        <v>214</v>
      </c>
      <c r="B26" s="28">
        <f>B22-RetAnnualSpend</f>
        <v>29105</v>
      </c>
    </row>
    <row r="28" spans="1:6" x14ac:dyDescent="0.25">
      <c r="A28" s="10" t="s">
        <v>215</v>
      </c>
    </row>
    <row r="30" spans="1:6" x14ac:dyDescent="0.25">
      <c r="A30" s="57" t="s">
        <v>216</v>
      </c>
      <c r="B30" s="58"/>
      <c r="C30" s="58"/>
      <c r="D30" s="58"/>
      <c r="E30" s="58"/>
      <c r="F30" s="58"/>
    </row>
    <row r="31" spans="1:6" x14ac:dyDescent="0.25">
      <c r="A31" s="5" t="s">
        <v>217</v>
      </c>
      <c r="B31" s="40">
        <f>SUMPRODUCT((100000&gt;TaxLowerActive)*(100000-TaxLowerActive)*TaxRateDiff)</f>
        <v>16712</v>
      </c>
    </row>
    <row r="33" spans="1:1" x14ac:dyDescent="0.25">
      <c r="A33" s="10" t="s">
        <v>37</v>
      </c>
    </row>
  </sheetData>
  <sheetProtection sheet="1"/>
  <mergeCells count="4">
    <mergeCell ref="A3:F3"/>
    <mergeCell ref="A30:F30"/>
    <mergeCell ref="A1:F1"/>
    <mergeCell ref="A10:F10"/>
  </mergeCells>
  <dataValidations count="2">
    <dataValidation type="decimal" errorStyle="warning" operator="greaterThanOrEqual" allowBlank="1" showInputMessage="1" showErrorMessage="1" promptTitle="Amount" prompt="Enter a dollar (or unit) amount, 0 or more." sqref="B4 B5 B6 B8" xr:uid="{00000000-0002-0000-0600-000000000000}">
      <formula1>0</formula1>
    </dataValidation>
    <dataValidation type="decimal" errorStyle="warning" allowBlank="1" showInputMessage="1" showErrorMessage="1" promptTitle="Rate" prompt="Enter as a decimal: 0.05 = 5%." sqref="B7" xr:uid="{00000000-0002-0000-0600-000001000000}">
      <formula1>0</formula1>
      <formula2>1</formula2>
    </dataValidation>
  </dataValidations>
  <pageMargins left="0.75" right="0.75" top="1" bottom="1" header="0.5" footer="0.5"/>
  <pageSetup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4546A"/>
    <pageSetUpPr fitToPage="1"/>
  </sheetPr>
  <dimension ref="A1:H56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48" customWidth="1"/>
    <col min="2" max="3" width="14" customWidth="1"/>
    <col min="4" max="4" width="10" customWidth="1"/>
    <col min="5" max="5" width="13" customWidth="1"/>
    <col min="6" max="6" width="11" customWidth="1"/>
  </cols>
  <sheetData>
    <row r="1" spans="1:8" ht="24" customHeight="1" x14ac:dyDescent="0.25">
      <c r="A1" s="59" t="s">
        <v>218</v>
      </c>
      <c r="B1" s="60"/>
      <c r="C1" s="60"/>
      <c r="D1" s="60"/>
      <c r="E1" s="60"/>
      <c r="F1" s="60"/>
      <c r="G1" s="60"/>
      <c r="H1" s="60"/>
    </row>
    <row r="2" spans="1:8" x14ac:dyDescent="0.25">
      <c r="A2" s="10" t="s">
        <v>219</v>
      </c>
      <c r="H2" s="9" t="str">
        <f>HYPERLINK("#Dashboard!A1","&lt; Dashboard")</f>
        <v>&lt; Dashboard</v>
      </c>
    </row>
    <row r="3" spans="1:8" x14ac:dyDescent="0.25">
      <c r="A3" s="57" t="s">
        <v>220</v>
      </c>
      <c r="B3" s="58"/>
      <c r="C3" s="58"/>
      <c r="D3" s="58"/>
      <c r="E3" s="58"/>
      <c r="F3" s="58"/>
      <c r="G3" s="58"/>
      <c r="H3" s="58"/>
    </row>
    <row r="4" spans="1:8" x14ac:dyDescent="0.25">
      <c r="A4" s="5" t="s">
        <v>221</v>
      </c>
      <c r="B4" s="25">
        <v>78000</v>
      </c>
    </row>
    <row r="5" spans="1:8" x14ac:dyDescent="0.25">
      <c r="A5" s="5" t="s">
        <v>222</v>
      </c>
      <c r="B5" s="25">
        <v>6000</v>
      </c>
    </row>
    <row r="6" spans="1:8" x14ac:dyDescent="0.25">
      <c r="A6" s="5" t="s">
        <v>223</v>
      </c>
      <c r="B6" s="25">
        <v>0</v>
      </c>
    </row>
    <row r="7" spans="1:8" x14ac:dyDescent="0.25">
      <c r="A7" s="5" t="s">
        <v>224</v>
      </c>
      <c r="B7" s="25">
        <v>5000</v>
      </c>
    </row>
    <row r="8" spans="1:8" x14ac:dyDescent="0.25">
      <c r="A8" s="5" t="s">
        <v>225</v>
      </c>
      <c r="B8" s="25">
        <v>0</v>
      </c>
    </row>
    <row r="9" spans="1:8" x14ac:dyDescent="0.25">
      <c r="A9" s="5" t="s">
        <v>226</v>
      </c>
      <c r="B9" s="8" t="str">
        <f>FilingStatus</f>
        <v>Single</v>
      </c>
      <c r="C9" s="42">
        <f>StateRate</f>
        <v>0.05</v>
      </c>
    </row>
    <row r="11" spans="1:8" x14ac:dyDescent="0.25">
      <c r="A11" s="57" t="s">
        <v>227</v>
      </c>
      <c r="B11" s="58"/>
      <c r="C11" s="58"/>
      <c r="D11" s="58"/>
      <c r="E11" s="58"/>
      <c r="F11" s="58"/>
      <c r="G11" s="58"/>
      <c r="H11" s="58"/>
    </row>
    <row r="12" spans="1:8" x14ac:dyDescent="0.25">
      <c r="A12" s="2" t="s">
        <v>228</v>
      </c>
      <c r="B12" s="2" t="s">
        <v>116</v>
      </c>
      <c r="C12" s="2" t="s">
        <v>229</v>
      </c>
      <c r="D12" s="2" t="s">
        <v>230</v>
      </c>
    </row>
    <row r="13" spans="1:8" x14ac:dyDescent="0.25">
      <c r="A13" s="5" t="s">
        <v>231</v>
      </c>
      <c r="B13" s="43">
        <v>16100</v>
      </c>
      <c r="C13" s="43">
        <v>32200</v>
      </c>
    </row>
    <row r="14" spans="1:8" x14ac:dyDescent="0.25">
      <c r="A14" s="5" t="s">
        <v>232</v>
      </c>
      <c r="B14" s="43">
        <v>0</v>
      </c>
      <c r="C14" s="43">
        <v>0</v>
      </c>
      <c r="D14" s="44">
        <v>0.1</v>
      </c>
    </row>
    <row r="15" spans="1:8" x14ac:dyDescent="0.25">
      <c r="A15" s="5" t="s">
        <v>233</v>
      </c>
      <c r="B15" s="43">
        <v>12400</v>
      </c>
      <c r="C15" s="43">
        <v>24800</v>
      </c>
      <c r="D15" s="44">
        <v>0.12</v>
      </c>
    </row>
    <row r="16" spans="1:8" x14ac:dyDescent="0.25">
      <c r="A16" s="5" t="s">
        <v>234</v>
      </c>
      <c r="B16" s="43">
        <v>50400</v>
      </c>
      <c r="C16" s="43">
        <v>100800</v>
      </c>
      <c r="D16" s="44">
        <v>0.22</v>
      </c>
    </row>
    <row r="17" spans="1:8" x14ac:dyDescent="0.25">
      <c r="A17" s="5" t="s">
        <v>235</v>
      </c>
      <c r="B17" s="43">
        <v>105700</v>
      </c>
      <c r="C17" s="43">
        <v>211400</v>
      </c>
      <c r="D17" s="44">
        <v>0.24</v>
      </c>
    </row>
    <row r="18" spans="1:8" x14ac:dyDescent="0.25">
      <c r="A18" s="5" t="s">
        <v>236</v>
      </c>
      <c r="B18" s="43">
        <v>201775</v>
      </c>
      <c r="C18" s="43">
        <v>403550</v>
      </c>
      <c r="D18" s="44">
        <v>0.32</v>
      </c>
    </row>
    <row r="19" spans="1:8" x14ac:dyDescent="0.25">
      <c r="A19" s="5" t="s">
        <v>237</v>
      </c>
      <c r="B19" s="43">
        <v>256225</v>
      </c>
      <c r="C19" s="43">
        <v>512450</v>
      </c>
      <c r="D19" s="44">
        <v>0.35</v>
      </c>
    </row>
    <row r="20" spans="1:8" x14ac:dyDescent="0.25">
      <c r="A20" s="5" t="s">
        <v>238</v>
      </c>
      <c r="B20" s="43">
        <v>640600</v>
      </c>
      <c r="C20" s="43">
        <v>768700</v>
      </c>
      <c r="D20" s="44">
        <v>0.37</v>
      </c>
    </row>
    <row r="21" spans="1:8" x14ac:dyDescent="0.25">
      <c r="A21" s="5" t="s">
        <v>239</v>
      </c>
      <c r="B21" s="43">
        <v>49450</v>
      </c>
      <c r="C21" s="43">
        <v>98900</v>
      </c>
    </row>
    <row r="22" spans="1:8" x14ac:dyDescent="0.25">
      <c r="A22" s="5" t="s">
        <v>240</v>
      </c>
      <c r="B22" s="43">
        <v>545500</v>
      </c>
      <c r="C22" s="43">
        <v>613700</v>
      </c>
    </row>
    <row r="23" spans="1:8" x14ac:dyDescent="0.25">
      <c r="A23" s="5" t="s">
        <v>241</v>
      </c>
      <c r="B23" s="43">
        <v>200000</v>
      </c>
      <c r="C23" s="43">
        <v>250000</v>
      </c>
    </row>
    <row r="24" spans="1:8" x14ac:dyDescent="0.25">
      <c r="A24" s="5" t="s">
        <v>242</v>
      </c>
      <c r="B24" s="45">
        <v>3.7999999999999999E-2</v>
      </c>
    </row>
    <row r="25" spans="1:8" x14ac:dyDescent="0.25">
      <c r="A25" s="5" t="s">
        <v>243</v>
      </c>
      <c r="B25" s="44">
        <v>0.15</v>
      </c>
      <c r="C25" s="44">
        <v>0.2</v>
      </c>
    </row>
    <row r="26" spans="1:8" x14ac:dyDescent="0.25">
      <c r="A26" s="57" t="s">
        <v>244</v>
      </c>
      <c r="B26" s="58"/>
      <c r="C26" s="58"/>
      <c r="D26" s="58"/>
      <c r="E26" s="58"/>
      <c r="F26" s="58"/>
      <c r="G26" s="58"/>
      <c r="H26" s="58"/>
    </row>
    <row r="27" spans="1:8" x14ac:dyDescent="0.25">
      <c r="E27" s="2" t="s">
        <v>245</v>
      </c>
      <c r="F27" s="2" t="s">
        <v>246</v>
      </c>
    </row>
    <row r="28" spans="1:8" x14ac:dyDescent="0.25">
      <c r="A28" s="5" t="s">
        <v>247</v>
      </c>
      <c r="E28" s="28">
        <f t="shared" ref="E28:E34" si="0">IF(FilingStatus="Single",B14,C14)</f>
        <v>0</v>
      </c>
      <c r="F28" s="23">
        <f>D14</f>
        <v>0.1</v>
      </c>
    </row>
    <row r="29" spans="1:8" x14ac:dyDescent="0.25">
      <c r="A29" s="5" t="s">
        <v>248</v>
      </c>
      <c r="E29" s="28">
        <f t="shared" si="0"/>
        <v>12400</v>
      </c>
      <c r="F29" s="23">
        <f t="shared" ref="F29:F34" si="1">D15-D14</f>
        <v>1.999999999999999E-2</v>
      </c>
    </row>
    <row r="30" spans="1:8" x14ac:dyDescent="0.25">
      <c r="A30" s="5" t="s">
        <v>249</v>
      </c>
      <c r="E30" s="28">
        <f t="shared" si="0"/>
        <v>50400</v>
      </c>
      <c r="F30" s="23">
        <f t="shared" si="1"/>
        <v>0.1</v>
      </c>
    </row>
    <row r="31" spans="1:8" x14ac:dyDescent="0.25">
      <c r="A31" s="5" t="s">
        <v>250</v>
      </c>
      <c r="E31" s="28">
        <f t="shared" si="0"/>
        <v>105700</v>
      </c>
      <c r="F31" s="23">
        <f t="shared" si="1"/>
        <v>1.999999999999999E-2</v>
      </c>
    </row>
    <row r="32" spans="1:8" x14ac:dyDescent="0.25">
      <c r="A32" s="5" t="s">
        <v>251</v>
      </c>
      <c r="E32" s="28">
        <f t="shared" si="0"/>
        <v>201775</v>
      </c>
      <c r="F32" s="23">
        <f t="shared" si="1"/>
        <v>8.0000000000000016E-2</v>
      </c>
    </row>
    <row r="33" spans="1:8" x14ac:dyDescent="0.25">
      <c r="A33" s="5" t="s">
        <v>252</v>
      </c>
      <c r="E33" s="28">
        <f t="shared" si="0"/>
        <v>256225</v>
      </c>
      <c r="F33" s="23">
        <f t="shared" si="1"/>
        <v>2.9999999999999971E-2</v>
      </c>
    </row>
    <row r="34" spans="1:8" x14ac:dyDescent="0.25">
      <c r="A34" s="5" t="s">
        <v>253</v>
      </c>
      <c r="E34" s="28">
        <f t="shared" si="0"/>
        <v>640600</v>
      </c>
      <c r="F34" s="23">
        <f t="shared" si="1"/>
        <v>2.0000000000000018E-2</v>
      </c>
    </row>
    <row r="36" spans="1:8" x14ac:dyDescent="0.25">
      <c r="A36" s="5" t="s">
        <v>254</v>
      </c>
      <c r="B36" s="28">
        <f>IF(FilingStatus="Single",B13,C13)</f>
        <v>16100</v>
      </c>
    </row>
    <row r="37" spans="1:8" x14ac:dyDescent="0.25">
      <c r="A37" s="5" t="s">
        <v>255</v>
      </c>
      <c r="B37" s="28">
        <f>IF(FilingStatus="Single",B21,C21)</f>
        <v>49450</v>
      </c>
    </row>
    <row r="38" spans="1:8" x14ac:dyDescent="0.25">
      <c r="A38" s="5" t="s">
        <v>256</v>
      </c>
      <c r="B38" s="28">
        <f>IF(FilingStatus="Single",B22,C22)</f>
        <v>545500</v>
      </c>
    </row>
    <row r="39" spans="1:8" x14ac:dyDescent="0.25">
      <c r="A39" s="5" t="s">
        <v>257</v>
      </c>
      <c r="B39" s="28">
        <f>IF(FilingStatus="Single",B23,C23)</f>
        <v>200000</v>
      </c>
    </row>
    <row r="41" spans="1:8" x14ac:dyDescent="0.25">
      <c r="A41" s="57" t="s">
        <v>258</v>
      </c>
      <c r="B41" s="58"/>
      <c r="C41" s="58"/>
      <c r="D41" s="58"/>
      <c r="E41" s="58"/>
      <c r="F41" s="58"/>
      <c r="G41" s="58"/>
      <c r="H41" s="58"/>
    </row>
    <row r="42" spans="1:8" x14ac:dyDescent="0.25">
      <c r="A42" s="5" t="s">
        <v>259</v>
      </c>
      <c r="B42" s="28">
        <f>MAX(0,GrossIncome-PreTax401k-OtherPreTax-StdDedActive)</f>
        <v>55900</v>
      </c>
    </row>
    <row r="43" spans="1:8" x14ac:dyDescent="0.25">
      <c r="A43" s="5" t="s">
        <v>204</v>
      </c>
      <c r="B43" s="28">
        <f>MAX(0,GrossIncome-PreTax401k-OtherPreTax+LTCGRealized-StdDedActive)</f>
        <v>60900</v>
      </c>
    </row>
    <row r="44" spans="1:8" x14ac:dyDescent="0.25">
      <c r="A44" s="5" t="s">
        <v>205</v>
      </c>
      <c r="B44" s="28">
        <f>TotalTaxable-OrdTaxable</f>
        <v>5000</v>
      </c>
    </row>
    <row r="45" spans="1:8" x14ac:dyDescent="0.25">
      <c r="A45" s="5" t="s">
        <v>206</v>
      </c>
      <c r="B45" s="40">
        <f>SUMPRODUCT((OrdTaxable&gt;TaxLowerActive)*(OrdTaxable-TaxLowerActive)*TaxRateDiff)</f>
        <v>7010</v>
      </c>
    </row>
    <row r="46" spans="1:8" x14ac:dyDescent="0.25">
      <c r="A46" s="5" t="s">
        <v>260</v>
      </c>
      <c r="B46" s="23">
        <f>LOOKUP(OrdTaxable,TaxLowerActive,TaxRates)</f>
        <v>0.22</v>
      </c>
    </row>
    <row r="47" spans="1:8" x14ac:dyDescent="0.25">
      <c r="A47" s="5" t="s">
        <v>261</v>
      </c>
      <c r="B47" s="40">
        <f>LTCGRate15*MAX(0,MIN(OrdTaxable+TaxableGains,LTCG15Active)-MAX(OrdTaxable,LTCG0Active))+LTCGRate20*MAX(0,OrdTaxable+TaxableGains-MAX(OrdTaxable,LTCG15Active))</f>
        <v>750</v>
      </c>
    </row>
    <row r="48" spans="1:8" x14ac:dyDescent="0.25">
      <c r="A48" s="5" t="s">
        <v>262</v>
      </c>
      <c r="B48" s="40">
        <f>NIITRate*MIN(MAX(0,LTCGRealized+OtherNII),MAX(0,(GrossIncome-PreTax401k-OtherPreTax+LTCGRealized)-NIITThreshActive))</f>
        <v>0</v>
      </c>
    </row>
    <row r="49" spans="1:8" x14ac:dyDescent="0.25">
      <c r="A49" s="5" t="s">
        <v>209</v>
      </c>
      <c r="B49" s="40">
        <f>StateRate*TotalTaxable</f>
        <v>3045</v>
      </c>
    </row>
    <row r="50" spans="1:8" x14ac:dyDescent="0.25">
      <c r="A50" s="12" t="s">
        <v>210</v>
      </c>
      <c r="B50" s="41">
        <f>B45+B47+B48+B49</f>
        <v>10805</v>
      </c>
    </row>
    <row r="51" spans="1:8" x14ac:dyDescent="0.25">
      <c r="A51" s="5" t="s">
        <v>263</v>
      </c>
      <c r="B51" s="35">
        <f>IF(GrossIncome+LTCGRealized=0,0,B50/(GrossIncome+LTCGRealized))</f>
        <v>0.13018072289156626</v>
      </c>
    </row>
    <row r="53" spans="1:8" x14ac:dyDescent="0.25">
      <c r="A53" s="57" t="s">
        <v>216</v>
      </c>
      <c r="B53" s="58"/>
      <c r="C53" s="58"/>
      <c r="D53" s="58"/>
      <c r="E53" s="58"/>
      <c r="F53" s="58"/>
      <c r="G53" s="58"/>
      <c r="H53" s="58"/>
    </row>
    <row r="54" spans="1:8" x14ac:dyDescent="0.25">
      <c r="A54" s="5" t="s">
        <v>217</v>
      </c>
      <c r="B54" s="40">
        <f>SUMPRODUCT((100000&gt;TaxLowerActive)*(100000-TaxLowerActive)*TaxRateDiff)</f>
        <v>16712</v>
      </c>
    </row>
    <row r="56" spans="1:8" x14ac:dyDescent="0.25">
      <c r="A56" s="10" t="s">
        <v>37</v>
      </c>
    </row>
  </sheetData>
  <sheetProtection sheet="1"/>
  <mergeCells count="6">
    <mergeCell ref="A1:H1"/>
    <mergeCell ref="A26:H26"/>
    <mergeCell ref="A3:H3"/>
    <mergeCell ref="A53:H53"/>
    <mergeCell ref="A41:H41"/>
    <mergeCell ref="A11:H11"/>
  </mergeCells>
  <dataValidations count="1">
    <dataValidation type="decimal" errorStyle="warning" operator="greaterThanOrEqual" allowBlank="1" showInputMessage="1" showErrorMessage="1" promptTitle="Amount" prompt="Enter a dollar (or unit) amount, 0 or more." sqref="B4 B5 B6 B7 B8" xr:uid="{00000000-0002-0000-0700-000000000000}">
      <formula1>0</formula1>
    </dataValidation>
  </dataValidations>
  <pageMargins left="0.75" right="0.75" top="1" bottom="1" header="0.5" footer="0.5"/>
  <pageSetup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4546A"/>
    <pageSetUpPr fitToPage="1"/>
  </sheetPr>
  <dimension ref="A1:M38"/>
  <sheetViews>
    <sheetView workbookViewId="0">
      <pane ySplit="2" topLeftCell="A3" activePane="bottomLeft" state="frozen"/>
      <selection pane="bottomLeft" sqref="A1:I1"/>
    </sheetView>
  </sheetViews>
  <sheetFormatPr defaultRowHeight="15" x14ac:dyDescent="0.25"/>
  <cols>
    <col min="1" max="1" width="24" customWidth="1"/>
    <col min="2" max="2" width="13" customWidth="1"/>
    <col min="3" max="3" width="10" customWidth="1"/>
    <col min="4" max="4" width="16" customWidth="1"/>
    <col min="5" max="5" width="12" customWidth="1"/>
    <col min="6" max="7" width="16" customWidth="1"/>
    <col min="8" max="8" width="14" customWidth="1"/>
    <col min="10" max="10" width="8" hidden="1" customWidth="1"/>
    <col min="12" max="12" width="8" customWidth="1"/>
    <col min="13" max="13" width="14" customWidth="1"/>
  </cols>
  <sheetData>
    <row r="1" spans="1:10" ht="24" customHeight="1" x14ac:dyDescent="0.25">
      <c r="A1" s="59" t="s">
        <v>264</v>
      </c>
      <c r="B1" s="60"/>
      <c r="C1" s="60"/>
      <c r="D1" s="60"/>
      <c r="E1" s="60"/>
      <c r="F1" s="60"/>
      <c r="G1" s="60"/>
      <c r="H1" s="60"/>
      <c r="I1" s="60"/>
    </row>
    <row r="2" spans="1:10" x14ac:dyDescent="0.25">
      <c r="A2" s="10" t="s">
        <v>265</v>
      </c>
      <c r="H2" s="9" t="str">
        <f>HYPERLINK("#Dashboard!A1","&lt; Dashboard")</f>
        <v>&lt; Dashboard</v>
      </c>
    </row>
    <row r="4" spans="1:10" x14ac:dyDescent="0.25">
      <c r="A4" s="2" t="s">
        <v>266</v>
      </c>
      <c r="B4" s="2" t="s">
        <v>267</v>
      </c>
      <c r="C4" s="2" t="s">
        <v>268</v>
      </c>
      <c r="D4" s="2" t="s">
        <v>269</v>
      </c>
      <c r="E4" s="2" t="s">
        <v>270</v>
      </c>
      <c r="F4" s="2" t="s">
        <v>271</v>
      </c>
      <c r="G4" s="2" t="s">
        <v>272</v>
      </c>
      <c r="H4" s="2" t="s">
        <v>273</v>
      </c>
      <c r="J4" s="10" t="s">
        <v>274</v>
      </c>
    </row>
    <row r="5" spans="1:10" x14ac:dyDescent="0.25">
      <c r="A5" s="4" t="s">
        <v>275</v>
      </c>
      <c r="B5" s="25">
        <v>3500</v>
      </c>
      <c r="C5" s="31">
        <v>0.24990000000000001</v>
      </c>
      <c r="D5" s="25">
        <v>150</v>
      </c>
      <c r="E5" s="35">
        <f>IF(OR($B5&lt;=0,$C5=""),0,$C5/12)</f>
        <v>2.0825E-2</v>
      </c>
      <c r="F5" s="46">
        <f>IF(OR($B5&lt;=0,$D5&lt;=0),"-",IF($D5&lt;=$B5*$E5,"Payment too low",NPER($E5,-$D5,$B5)))</f>
        <v>32.282077515812652</v>
      </c>
      <c r="G5" s="28">
        <f>IF(ISNUMBER(F5),F5*D5-B5,"-")</f>
        <v>1342.3116273718979</v>
      </c>
      <c r="H5" s="7">
        <f>IF(OR($B5="",$B5&lt;=0),"-",COUNTIF($C$5:$C$9,"&gt;"&amp;$C5)+1)</f>
        <v>1</v>
      </c>
      <c r="J5" s="10">
        <f>IF(ISNUMBER(F5),F5,0)</f>
        <v>32.282077515812652</v>
      </c>
    </row>
    <row r="6" spans="1:10" x14ac:dyDescent="0.25">
      <c r="A6" s="4" t="s">
        <v>276</v>
      </c>
      <c r="B6" s="25">
        <v>9000</v>
      </c>
      <c r="C6" s="31">
        <v>6.9000000000000006E-2</v>
      </c>
      <c r="D6" s="25">
        <v>200</v>
      </c>
      <c r="E6" s="35">
        <f>IF(OR($B6&lt;=0,$C6=""),0,$C6/12)</f>
        <v>5.7500000000000008E-3</v>
      </c>
      <c r="F6" s="46">
        <f>IF(OR($B6&lt;=0,$D6&lt;=0),"-",IF($D6&lt;=$B6*$E6,"Payment too low",NPER($E6,-$D6,$B6)))</f>
        <v>52.222144503680596</v>
      </c>
      <c r="G6" s="28">
        <f>IF(ISNUMBER(F6),F6*D6-B6,"-")</f>
        <v>1444.4289007361185</v>
      </c>
      <c r="H6" s="7">
        <f>IF(OR($B6="",$B6&lt;=0),"-",COUNTIF($C$5:$C$9,"&gt;"&amp;$C6)+1)</f>
        <v>2</v>
      </c>
      <c r="J6" s="10">
        <f>IF(ISNUMBER(F6),F6,0)</f>
        <v>52.222144503680596</v>
      </c>
    </row>
    <row r="7" spans="1:10" x14ac:dyDescent="0.25">
      <c r="A7" s="4"/>
      <c r="B7" s="25"/>
      <c r="C7" s="31"/>
      <c r="D7" s="25"/>
      <c r="E7" s="35">
        <f>IF(OR($B7&lt;=0,$C7=""),0,$C7/12)</f>
        <v>0</v>
      </c>
      <c r="F7" s="46" t="str">
        <f>IF(OR($B7&lt;=0,$D7&lt;=0),"-",IF($D7&lt;=$B7*$E7,"Payment too low",NPER($E7,-$D7,$B7)))</f>
        <v>-</v>
      </c>
      <c r="G7" s="28" t="str">
        <f>IF(ISNUMBER(F7),F7*D7-B7,"-")</f>
        <v>-</v>
      </c>
      <c r="H7" s="7" t="str">
        <f>IF(OR($B7="",$B7&lt;=0),"-",COUNTIF($C$5:$C$9,"&gt;"&amp;$C7)+1)</f>
        <v>-</v>
      </c>
      <c r="J7" s="10">
        <f>IF(ISNUMBER(F7),F7,0)</f>
        <v>0</v>
      </c>
    </row>
    <row r="8" spans="1:10" x14ac:dyDescent="0.25">
      <c r="A8" s="4"/>
      <c r="B8" s="25"/>
      <c r="C8" s="31"/>
      <c r="D8" s="25"/>
      <c r="E8" s="35">
        <f>IF(OR($B8&lt;=0,$C8=""),0,$C8/12)</f>
        <v>0</v>
      </c>
      <c r="F8" s="46" t="str">
        <f>IF(OR($B8&lt;=0,$D8&lt;=0),"-",IF($D8&lt;=$B8*$E8,"Payment too low",NPER($E8,-$D8,$B8)))</f>
        <v>-</v>
      </c>
      <c r="G8" s="28" t="str">
        <f>IF(ISNUMBER(F8),F8*D8-B8,"-")</f>
        <v>-</v>
      </c>
      <c r="H8" s="7" t="str">
        <f>IF(OR($B8="",$B8&lt;=0),"-",COUNTIF($C$5:$C$9,"&gt;"&amp;$C8)+1)</f>
        <v>-</v>
      </c>
      <c r="J8" s="10">
        <f>IF(ISNUMBER(F8),F8,0)</f>
        <v>0</v>
      </c>
    </row>
    <row r="9" spans="1:10" x14ac:dyDescent="0.25">
      <c r="A9" s="4"/>
      <c r="B9" s="25"/>
      <c r="C9" s="31"/>
      <c r="D9" s="25"/>
      <c r="E9" s="35">
        <f>IF(OR($B9&lt;=0,$C9=""),0,$C9/12)</f>
        <v>0</v>
      </c>
      <c r="F9" s="46" t="str">
        <f>IF(OR($B9&lt;=0,$D9&lt;=0),"-",IF($D9&lt;=$B9*$E9,"Payment too low",NPER($E9,-$D9,$B9)))</f>
        <v>-</v>
      </c>
      <c r="G9" s="28" t="str">
        <f>IF(ISNUMBER(F9),F9*D9-B9,"-")</f>
        <v>-</v>
      </c>
      <c r="H9" s="7" t="str">
        <f>IF(OR($B9="",$B9&lt;=0),"-",COUNTIF($C$5:$C$9,"&gt;"&amp;$C9)+1)</f>
        <v>-</v>
      </c>
      <c r="J9" s="10">
        <f>IF(ISNUMBER(F9),F9,0)</f>
        <v>0</v>
      </c>
    </row>
    <row r="10" spans="1:10" x14ac:dyDescent="0.25">
      <c r="A10" s="10" t="s">
        <v>277</v>
      </c>
    </row>
    <row r="11" spans="1:10" x14ac:dyDescent="0.25">
      <c r="A11" s="12" t="s">
        <v>278</v>
      </c>
      <c r="B11" s="26">
        <f>SUM(B5:B9)</f>
        <v>12500</v>
      </c>
      <c r="D11" s="26">
        <f>SUM(D5:D9)</f>
        <v>350</v>
      </c>
    </row>
    <row r="13" spans="1:10" x14ac:dyDescent="0.25">
      <c r="A13" s="5" t="s">
        <v>279</v>
      </c>
      <c r="B13" s="46">
        <f>MAX(J5:J9)</f>
        <v>52.222144503680596</v>
      </c>
    </row>
    <row r="14" spans="1:10" x14ac:dyDescent="0.25">
      <c r="A14" s="5" t="s">
        <v>56</v>
      </c>
      <c r="B14" s="47">
        <f>IF(DebtFreeMonths=0,"Debt-free now",EDATE(DataAsOf,ROUNDUP(DebtFreeMonths,0)))</f>
        <v>47819</v>
      </c>
    </row>
    <row r="16" spans="1:10" x14ac:dyDescent="0.25">
      <c r="A16" s="57" t="s">
        <v>280</v>
      </c>
      <c r="B16" s="58"/>
      <c r="C16" s="58"/>
      <c r="D16" s="58"/>
      <c r="E16" s="58"/>
      <c r="F16" s="58"/>
      <c r="G16" s="58"/>
      <c r="H16" s="58"/>
      <c r="I16" s="58"/>
    </row>
    <row r="17" spans="1:13" x14ac:dyDescent="0.25">
      <c r="A17" s="5" t="s">
        <v>281</v>
      </c>
      <c r="B17" s="25">
        <v>100</v>
      </c>
    </row>
    <row r="18" spans="1:13" x14ac:dyDescent="0.25">
      <c r="A18" s="5" t="s">
        <v>282</v>
      </c>
      <c r="B18" s="46">
        <f>IF(OR($B$5&lt;=0,$D$5+$B$17&lt;=0),"-",IF($D$5+$B$17&lt;=$B$5*$C$5/12,"Payment too low",NPER($C$5/12,-($D$5+$B$17),$B$5)))</f>
        <v>16.722804422284327</v>
      </c>
    </row>
    <row r="19" spans="1:13" x14ac:dyDescent="0.25">
      <c r="A19" s="5" t="s">
        <v>283</v>
      </c>
      <c r="B19" s="28">
        <f>IF(AND(ISNUMBER(F5),ISNUMBER(B18)),G5-(B18*(D5+B17)-B5),"-")</f>
        <v>661.61052180081606</v>
      </c>
    </row>
    <row r="23" spans="1:13" x14ac:dyDescent="0.25">
      <c r="A23" s="57" t="s">
        <v>284</v>
      </c>
      <c r="B23" s="58"/>
      <c r="C23" s="58"/>
      <c r="D23" s="58"/>
      <c r="E23" s="58"/>
      <c r="F23" s="58"/>
      <c r="G23" s="58"/>
      <c r="H23" s="58"/>
      <c r="I23" s="58"/>
    </row>
    <row r="24" spans="1:13" x14ac:dyDescent="0.25">
      <c r="L24" s="2" t="s">
        <v>285</v>
      </c>
      <c r="M24" s="2" t="s">
        <v>286</v>
      </c>
    </row>
    <row r="25" spans="1:13" x14ac:dyDescent="0.25">
      <c r="L25" s="39">
        <v>0</v>
      </c>
      <c r="M25" s="28">
        <f t="shared" ref="M25:M35" si="0">IF($B$5&gt;0,MAX(0,IF($E$5=0,$B$5-$D$5*$L25,$B$5*(1+$E$5)^$L25-$D$5*(((1+$E$5)^$L25-1)/$E$5))),0)+IF($B$6&gt;0,MAX(0,IF($E$6=0,$B$6-$D$6*$L25,$B$6*(1+$E$6)^$L25-$D$6*(((1+$E$6)^$L25-1)/$E$6))),0)+IF($B$7&gt;0,MAX(0,IF($E$7=0,$B$7-$D$7*$L25,$B$7*(1+$E$7)^$L25-$D$7*(((1+$E$7)^$L25-1)/$E$7))),0)+IF($B$8&gt;0,MAX(0,IF($E$8=0,$B$8-$D$8*$L25,$B$8*(1+$E$8)^$L25-$D$8*(((1+$E$8)^$L25-1)/$E$8))),0)+IF($B$9&gt;0,MAX(0,IF($E$9=0,$B$9-$D$9*$L25,$B$9*(1+$E$9)^$L25-$D$9*(((1+$E$9)^$L25-1)/$E$9))),0)</f>
        <v>12500</v>
      </c>
    </row>
    <row r="26" spans="1:13" x14ac:dyDescent="0.25">
      <c r="L26" s="39">
        <v>6</v>
      </c>
      <c r="M26" s="28">
        <f t="shared" si="0"/>
        <v>11110.172588499334</v>
      </c>
    </row>
    <row r="27" spans="1:13" x14ac:dyDescent="0.25">
      <c r="L27" s="39">
        <v>12</v>
      </c>
      <c r="M27" s="28">
        <f t="shared" si="0"/>
        <v>9624.5956470092679</v>
      </c>
    </row>
    <row r="28" spans="1:13" x14ac:dyDescent="0.25">
      <c r="L28" s="39">
        <v>18</v>
      </c>
      <c r="M28" s="28">
        <f t="shared" si="0"/>
        <v>8033.7170054800881</v>
      </c>
    </row>
    <row r="29" spans="1:13" x14ac:dyDescent="0.25">
      <c r="L29" s="39">
        <v>24</v>
      </c>
      <c r="M29" s="28">
        <f t="shared" si="0"/>
        <v>6326.8338840571914</v>
      </c>
    </row>
    <row r="30" spans="1:13" x14ac:dyDescent="0.25">
      <c r="L30" s="39">
        <v>30</v>
      </c>
      <c r="M30" s="28">
        <f t="shared" si="0"/>
        <v>4491.9451671812094</v>
      </c>
    </row>
    <row r="31" spans="1:13" x14ac:dyDescent="0.25">
      <c r="L31" s="39">
        <v>36</v>
      </c>
      <c r="M31" s="28">
        <f t="shared" si="0"/>
        <v>3089.2444370878711</v>
      </c>
    </row>
    <row r="32" spans="1:13" x14ac:dyDescent="0.25">
      <c r="L32" s="39">
        <v>42</v>
      </c>
      <c r="M32" s="28">
        <f t="shared" si="0"/>
        <v>1979.9844173466336</v>
      </c>
    </row>
    <row r="33" spans="1:13" x14ac:dyDescent="0.25">
      <c r="L33" s="39">
        <v>48</v>
      </c>
      <c r="M33" s="28">
        <f t="shared" si="0"/>
        <v>831.90056743837158</v>
      </c>
    </row>
    <row r="34" spans="1:13" x14ac:dyDescent="0.25">
      <c r="L34" s="39">
        <v>54</v>
      </c>
      <c r="M34" s="28">
        <f t="shared" si="0"/>
        <v>0</v>
      </c>
    </row>
    <row r="35" spans="1:13" x14ac:dyDescent="0.25">
      <c r="L35" s="39">
        <v>60</v>
      </c>
      <c r="M35" s="28">
        <f t="shared" si="0"/>
        <v>0</v>
      </c>
    </row>
    <row r="38" spans="1:13" x14ac:dyDescent="0.25">
      <c r="A38" s="10" t="s">
        <v>37</v>
      </c>
    </row>
  </sheetData>
  <sheetProtection sheet="1" objects="1" scenarios="1"/>
  <mergeCells count="3">
    <mergeCell ref="A1:I1"/>
    <mergeCell ref="A23:I23"/>
    <mergeCell ref="A16:I16"/>
  </mergeCells>
  <conditionalFormatting sqref="A5:H9">
    <cfRule type="expression" dxfId="4" priority="1">
      <formula>AND($B5&gt;0,$H5=1)</formula>
    </cfRule>
  </conditionalFormatting>
  <dataValidations count="2">
    <dataValidation type="decimal" errorStyle="warning" operator="greaterThanOrEqual" allowBlank="1" showInputMessage="1" showErrorMessage="1" promptTitle="Amount" prompt="Enter a dollar (or unit) amount, 0 or more." sqref="B5:B9 B17 D5:D9" xr:uid="{00000000-0002-0000-0800-000000000000}">
      <formula1>0</formula1>
    </dataValidation>
    <dataValidation type="decimal" errorStyle="warning" allowBlank="1" showInputMessage="1" showErrorMessage="1" promptTitle="Rate" prompt="Enter as a decimal: 0.05 = 5%." sqref="C5:C9" xr:uid="{00000000-0002-0000-0800-000001000000}">
      <formula1>0</formula1>
      <formula2>1</formula2>
    </dataValidation>
  </dataValidations>
  <pageMargins left="0.75" right="0.75" top="1" bottom="1" header="0.5" footer="0.5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160</vt:i4>
      </vt:variant>
    </vt:vector>
  </HeadingPairs>
  <TitlesOfParts>
    <vt:vector size="181" baseType="lpstr">
      <vt:lpstr>README</vt:lpstr>
      <vt:lpstr>Dashboard</vt:lpstr>
      <vt:lpstr>Budget &amp; Cash Flow</vt:lpstr>
      <vt:lpstr>Assumptions</vt:lpstr>
      <vt:lpstr>Net Worth Tracker</vt:lpstr>
      <vt:lpstr>FIRE &amp; Retirement</vt:lpstr>
      <vt:lpstr>Retirement Drawdown</vt:lpstr>
      <vt:lpstr>Tax Center</vt:lpstr>
      <vt:lpstr>Debt Center</vt:lpstr>
      <vt:lpstr>Credit Cards</vt:lpstr>
      <vt:lpstr>Housing</vt:lpstr>
      <vt:lpstr>Investing</vt:lpstr>
      <vt:lpstr>Bitcoin</vt:lpstr>
      <vt:lpstr>Career &amp; Decisions</vt:lpstr>
      <vt:lpstr>Family &amp; Life</vt:lpstr>
      <vt:lpstr>Macro &amp; Inflation</vt:lpstr>
      <vt:lpstr>Scenario Comparison</vt:lpstr>
      <vt:lpstr>Projections</vt:lpstr>
      <vt:lpstr>Site Tool Library</vt:lpstr>
      <vt:lpstr>Site Data</vt:lpstr>
      <vt:lpstr>Checks</vt:lpstr>
      <vt:lpstr>AllocBonds</vt:lpstr>
      <vt:lpstr>AllocBTC</vt:lpstr>
      <vt:lpstr>AllocCash</vt:lpstr>
      <vt:lpstr>AllocStocks</vt:lpstr>
      <vt:lpstr>AllocTotal</vt:lpstr>
      <vt:lpstr>AllPass</vt:lpstr>
      <vt:lpstr>AnnualBTCDCA</vt:lpstr>
      <vt:lpstr>AnnualContrib</vt:lpstr>
      <vt:lpstr>AnnualPortfolioContrib</vt:lpstr>
      <vt:lpstr>AnnualSurplus</vt:lpstr>
      <vt:lpstr>AppreciationPct</vt:lpstr>
      <vt:lpstr>AssumpNetWorth</vt:lpstr>
      <vt:lpstr>BaseYear</vt:lpstr>
      <vt:lpstr>BlendA</vt:lpstr>
      <vt:lpstr>BlendB</vt:lpstr>
      <vt:lpstr>BlendC</vt:lpstr>
      <vt:lpstr>BridgeNeed</vt:lpstr>
      <vt:lpstr>BridgeYears</vt:lpstr>
      <vt:lpstr>BTCfA</vt:lpstr>
      <vt:lpstr>BTCfB</vt:lpstr>
      <vt:lpstr>BTCfC</vt:lpstr>
      <vt:lpstr>BTCGlideYears</vt:lpstr>
      <vt:lpstr>BTCiA</vt:lpstr>
      <vt:lpstr>BTCiB</vt:lpstr>
      <vt:lpstr>BTCiC</vt:lpstr>
      <vt:lpstr>BTCPriceSeed</vt:lpstr>
      <vt:lpstr>BTCStack</vt:lpstr>
      <vt:lpstr>BTCStress</vt:lpstr>
      <vt:lpstr>BTCTermA</vt:lpstr>
      <vt:lpstr>BTCTermB</vt:lpstr>
      <vt:lpstr>BTCTermC</vt:lpstr>
      <vt:lpstr>CashOnHand</vt:lpstr>
      <vt:lpstr>CCAPR</vt:lpstr>
      <vt:lpstr>CCBal</vt:lpstr>
      <vt:lpstr>CCLimit</vt:lpstr>
      <vt:lpstr>CCMinPct</vt:lpstr>
      <vt:lpstr>CCPmt</vt:lpstr>
      <vt:lpstr>ChkResults</vt:lpstr>
      <vt:lpstr>ClosingPct</vt:lpstr>
      <vt:lpstr>CollegeReturn</vt:lpstr>
      <vt:lpstr>CollegeTarget</vt:lpstr>
      <vt:lpstr>CollegeYears</vt:lpstr>
      <vt:lpstr>CPIYoYSeed</vt:lpstr>
      <vt:lpstr>CurrentAge</vt:lpstr>
      <vt:lpstr>DashNetWorth</vt:lpstr>
      <vt:lpstr>DashSats</vt:lpstr>
      <vt:lpstr>DashSavingsRate</vt:lpstr>
      <vt:lpstr>DataAsOf</vt:lpstr>
      <vt:lpstr>DDGainPct</vt:lpstr>
      <vt:lpstr>DDOtherOrd</vt:lpstr>
      <vt:lpstr>DDRoth</vt:lpstr>
      <vt:lpstr>DDTaxable</vt:lpstr>
      <vt:lpstr>DDTest100k</vt:lpstr>
      <vt:lpstr>DDTrad</vt:lpstr>
      <vt:lpstr>DebtFreeMonths</vt:lpstr>
      <vt:lpstr>DebtMinPayments</vt:lpstr>
      <vt:lpstr>DGS10Seed</vt:lpstr>
      <vt:lpstr>DIMEEdu</vt:lpstr>
      <vt:lpstr>DIMEKids</vt:lpstr>
      <vt:lpstr>DIMEMort</vt:lpstr>
      <vt:lpstr>DIMEYears</vt:lpstr>
      <vt:lpstr>DownPct</vt:lpstr>
      <vt:lpstr>EFMonths</vt:lpstr>
      <vt:lpstr>FeeER</vt:lpstr>
      <vt:lpstr>FeeGross</vt:lpstr>
      <vt:lpstr>FeePrincipal</vt:lpstr>
      <vt:lpstr>FeeYears</vt:lpstr>
      <vt:lpstr>FilingStatus</vt:lpstr>
      <vt:lpstr>FINumber</vt:lpstr>
      <vt:lpstr>GrossIncome</vt:lpstr>
      <vt:lpstr>HDown</vt:lpstr>
      <vt:lpstr>HeadlinePortfolio</vt:lpstr>
      <vt:lpstr>HInitialOutlay</vt:lpstr>
      <vt:lpstr>HInvReturn</vt:lpstr>
      <vt:lpstr>HLoan</vt:lpstr>
      <vt:lpstr>HomePrice</vt:lpstr>
      <vt:lpstr>HousingBreakEven</vt:lpstr>
      <vt:lpstr>HousingRate</vt:lpstr>
      <vt:lpstr>HousingTerm</vt:lpstr>
      <vt:lpstr>HousingTestBE</vt:lpstr>
      <vt:lpstr>HPmt</vt:lpstr>
      <vt:lpstr>IncludeBTC</vt:lpstr>
      <vt:lpstr>InflA</vt:lpstr>
      <vt:lpstr>InflB</vt:lpstr>
      <vt:lpstr>InflC</vt:lpstr>
      <vt:lpstr>InsPct</vt:lpstr>
      <vt:lpstr>KidAnnual</vt:lpstr>
      <vt:lpstr>KidYears</vt:lpstr>
      <vt:lpstr>LTCG0Active</vt:lpstr>
      <vt:lpstr>LTCG0TopSingle</vt:lpstr>
      <vt:lpstr>LTCG15Active</vt:lpstr>
      <vt:lpstr>LTCG15TopSingle</vt:lpstr>
      <vt:lpstr>LTCGRate15</vt:lpstr>
      <vt:lpstr>LTCGRate20</vt:lpstr>
      <vt:lpstr>LTCGRealized</vt:lpstr>
      <vt:lpstr>M2LevelSeed</vt:lpstr>
      <vt:lpstr>M2YoYSeed</vt:lpstr>
      <vt:lpstr>MaintPct</vt:lpstr>
      <vt:lpstr>MonthlyContrib</vt:lpstr>
      <vt:lpstr>MonthlyExpenses</vt:lpstr>
      <vt:lpstr>MonthlyIncome</vt:lpstr>
      <vt:lpstr>MonthlySurplus</vt:lpstr>
      <vt:lpstr>Mort30Seed</vt:lpstr>
      <vt:lpstr>NetWorthLatest</vt:lpstr>
      <vt:lpstr>NIITRate</vt:lpstr>
      <vt:lpstr>NIITThreshActive</vt:lpstr>
      <vt:lpstr>NoBTCSelTarget</vt:lpstr>
      <vt:lpstr>OrdTaxable</vt:lpstr>
      <vt:lpstr>OtherNII</vt:lpstr>
      <vt:lpstr>OtherPreTax</vt:lpstr>
      <vt:lpstr>PensionAnnual</vt:lpstr>
      <vt:lpstr>PersonalInfl</vt:lpstr>
      <vt:lpstr>PreTax401k</vt:lpstr>
      <vt:lpstr>Checks!Print_Titles</vt:lpstr>
      <vt:lpstr>'Debt Center'!Print_Titles</vt:lpstr>
      <vt:lpstr>Housing!Print_Titles</vt:lpstr>
      <vt:lpstr>'Net Worth Tracker'!Print_Titles</vt:lpstr>
      <vt:lpstr>Projections!Print_Titles</vt:lpstr>
      <vt:lpstr>'Scenario Comparison'!Print_Titles</vt:lpstr>
      <vt:lpstr>'Site Tool Library'!Print_Titles</vt:lpstr>
      <vt:lpstr>ProjAges</vt:lpstr>
      <vt:lpstr>ProjFIFlagNo</vt:lpstr>
      <vt:lpstr>ProjFIFlagWith</vt:lpstr>
      <vt:lpstr>PropTaxPct</vt:lpstr>
      <vt:lpstr>RaiseAmt</vt:lpstr>
      <vt:lpstr>RaiseReturn</vt:lpstr>
      <vt:lpstr>RaiseYears</vt:lpstr>
      <vt:lpstr>RebalBand</vt:lpstr>
      <vt:lpstr>RentGrowth</vt:lpstr>
      <vt:lpstr>RentMonthly</vt:lpstr>
      <vt:lpstr>RetAnnualSpend</vt:lpstr>
      <vt:lpstr>RetPortfolioNeed</vt:lpstr>
      <vt:lpstr>RetSpendPct</vt:lpstr>
      <vt:lpstr>SalaryHorizonYears</vt:lpstr>
      <vt:lpstr>SavingsRate</vt:lpstr>
      <vt:lpstr>ScenarioSelected</vt:lpstr>
      <vt:lpstr>ScenIndex</vt:lpstr>
      <vt:lpstr>ScenNames</vt:lpstr>
      <vt:lpstr>SelBlend</vt:lpstr>
      <vt:lpstr>SelInfl</vt:lpstr>
      <vt:lpstr>ShockFactor</vt:lpstr>
      <vt:lpstr>SSAnnualBenefit</vt:lpstr>
      <vt:lpstr>SSStartAge</vt:lpstr>
      <vt:lpstr>StartPortfolio</vt:lpstr>
      <vt:lpstr>StateRate</vt:lpstr>
      <vt:lpstr>StdDedActive</vt:lpstr>
      <vt:lpstr>StdDedSingle</vt:lpstr>
      <vt:lpstr>StressIndex</vt:lpstr>
      <vt:lpstr>StressNames</vt:lpstr>
      <vt:lpstr>SWR</vt:lpstr>
      <vt:lpstr>TargetAge</vt:lpstr>
      <vt:lpstr>TargetRowIdx</vt:lpstr>
      <vt:lpstr>TaxableGains</vt:lpstr>
      <vt:lpstr>TaxLowerActive</vt:lpstr>
      <vt:lpstr>TaxRateDiff</vt:lpstr>
      <vt:lpstr>TaxRates</vt:lpstr>
      <vt:lpstr>TaxTest100k</vt:lpstr>
      <vt:lpstr>TotalDebtBalance</vt:lpstr>
      <vt:lpstr>TotalTaxable</vt:lpstr>
      <vt:lpstr>WithBTCSelTarget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Aidan H</cp:lastModifiedBy>
  <dcterms:created xsi:type="dcterms:W3CDTF">2026-07-08T16:18:57Z</dcterms:created>
  <dcterms:modified xsi:type="dcterms:W3CDTF">2026-07-08T16:19:13Z</dcterms:modified>
</cp:coreProperties>
</file>